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2109431\Desktop\設計ツール\180529_三星PFC_ループゲイン\190930_FA1AXX_COMP設計ツール\"/>
    </mc:Choice>
  </mc:AlternateContent>
  <workbookProtection workbookPassword="826F" lockStructure="1"/>
  <bookViews>
    <workbookView xWindow="0" yWindow="0" windowWidth="20490" windowHeight="7920"/>
  </bookViews>
  <sheets>
    <sheet name="COMP design" sheetId="1" r:id="rId1"/>
    <sheet name="Data処理→" sheetId="5" state="veryHidden" r:id="rId2"/>
    <sheet name="メイン回路" sheetId="2" state="veryHidden" r:id="rId3"/>
    <sheet name="amp" sheetId="3" state="veryHidden" r:id="rId4"/>
    <sheet name="全体" sheetId="4" state="veryHidden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4" l="1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5" i="4"/>
  <c r="F11" i="1" l="1"/>
  <c r="B11" i="2" l="1"/>
  <c r="C11" i="2" s="1"/>
  <c r="D49" i="1"/>
  <c r="B11" i="3"/>
  <c r="C11" i="3" s="1"/>
  <c r="G11" i="3" s="1"/>
  <c r="H11" i="3" s="1"/>
  <c r="M46" i="4"/>
  <c r="P47" i="4" s="1"/>
  <c r="B10" i="2"/>
  <c r="C10" i="2" s="1"/>
  <c r="B9" i="2"/>
  <c r="C9" i="2" s="1"/>
  <c r="D26" i="1"/>
  <c r="C29" i="3" l="1"/>
  <c r="G29" i="3"/>
  <c r="H29" i="3" s="1"/>
  <c r="C30" i="3"/>
  <c r="G30" i="3"/>
  <c r="H30" i="3" s="1"/>
  <c r="C31" i="3"/>
  <c r="G31" i="3"/>
  <c r="H31" i="3" s="1"/>
  <c r="C32" i="3"/>
  <c r="G32" i="3" s="1"/>
  <c r="H32" i="3" s="1"/>
  <c r="C33" i="3"/>
  <c r="G33" i="3"/>
  <c r="H33" i="3" s="1"/>
  <c r="C34" i="3"/>
  <c r="G34" i="3"/>
  <c r="H34" i="3"/>
  <c r="C35" i="3"/>
  <c r="G35" i="3" s="1"/>
  <c r="H35" i="3" s="1"/>
  <c r="C36" i="3"/>
  <c r="G36" i="3"/>
  <c r="H36" i="3"/>
  <c r="C37" i="3"/>
  <c r="G37" i="3"/>
  <c r="H37" i="3" s="1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D30" i="1" l="1"/>
  <c r="C7" i="3" s="1"/>
  <c r="F28" i="1"/>
  <c r="C6" i="3" s="1"/>
  <c r="C28" i="3"/>
  <c r="G28" i="3" s="1"/>
  <c r="H28" i="3" s="1"/>
  <c r="C27" i="3"/>
  <c r="G27" i="3" s="1"/>
  <c r="H27" i="3" s="1"/>
  <c r="C26" i="3"/>
  <c r="G26" i="3" s="1"/>
  <c r="H26" i="3" s="1"/>
  <c r="C25" i="3"/>
  <c r="G25" i="3" s="1"/>
  <c r="H25" i="3" s="1"/>
  <c r="C24" i="3"/>
  <c r="G24" i="3" s="1"/>
  <c r="H24" i="3" s="1"/>
  <c r="C23" i="3"/>
  <c r="G23" i="3" s="1"/>
  <c r="H23" i="3" s="1"/>
  <c r="C22" i="3"/>
  <c r="G22" i="3" s="1"/>
  <c r="H22" i="3" s="1"/>
  <c r="C21" i="3"/>
  <c r="G21" i="3" s="1"/>
  <c r="H21" i="3" s="1"/>
  <c r="C20" i="3"/>
  <c r="G20" i="3" s="1"/>
  <c r="H20" i="3" s="1"/>
  <c r="C19" i="3"/>
  <c r="G19" i="3" s="1"/>
  <c r="H19" i="3" s="1"/>
  <c r="C18" i="2"/>
  <c r="C3" i="2"/>
  <c r="F27" i="1"/>
  <c r="C5" i="2" s="1"/>
  <c r="C4" i="2"/>
  <c r="F29" i="1"/>
  <c r="F12" i="1"/>
  <c r="F10" i="1"/>
  <c r="D10" i="2" l="1"/>
  <c r="D9" i="2"/>
  <c r="D11" i="2"/>
  <c r="D15" i="1"/>
  <c r="D16" i="1" s="1"/>
  <c r="D17" i="1" s="1"/>
  <c r="D19" i="1" s="1"/>
  <c r="D21" i="1" s="1"/>
  <c r="D23" i="2"/>
  <c r="D30" i="2"/>
  <c r="D31" i="2"/>
  <c r="D24" i="2"/>
  <c r="D21" i="2"/>
  <c r="D22" i="2"/>
  <c r="D28" i="2"/>
  <c r="D29" i="2"/>
  <c r="D36" i="2"/>
  <c r="D25" i="2"/>
  <c r="D32" i="2"/>
  <c r="D33" i="2"/>
  <c r="D19" i="2"/>
  <c r="D20" i="2"/>
  <c r="D26" i="2"/>
  <c r="D27" i="2"/>
  <c r="D34" i="2"/>
  <c r="D35" i="2"/>
  <c r="D18" i="2"/>
  <c r="C2" i="2" l="1"/>
  <c r="E15" i="2" l="1"/>
  <c r="E14" i="2"/>
  <c r="E10" i="2"/>
  <c r="F10" i="2" s="1"/>
  <c r="H10" i="2" s="1"/>
  <c r="E9" i="2"/>
  <c r="F9" i="2" s="1"/>
  <c r="E11" i="2"/>
  <c r="F11" i="2" s="1"/>
  <c r="H11" i="2" s="1"/>
  <c r="E20" i="2"/>
  <c r="F20" i="2" s="1"/>
  <c r="E22" i="2"/>
  <c r="F22" i="2" s="1"/>
  <c r="E24" i="2"/>
  <c r="F24" i="2" s="1"/>
  <c r="E26" i="2"/>
  <c r="F26" i="2" s="1"/>
  <c r="E28" i="2"/>
  <c r="F28" i="2" s="1"/>
  <c r="E30" i="2"/>
  <c r="F30" i="2" s="1"/>
  <c r="E32" i="2"/>
  <c r="F32" i="2" s="1"/>
  <c r="E34" i="2"/>
  <c r="F34" i="2" s="1"/>
  <c r="E36" i="2"/>
  <c r="F36" i="2" s="1"/>
  <c r="E21" i="2"/>
  <c r="F21" i="2" s="1"/>
  <c r="E29" i="2"/>
  <c r="F29" i="2" s="1"/>
  <c r="E35" i="2"/>
  <c r="F35" i="2" s="1"/>
  <c r="E19" i="2"/>
  <c r="F19" i="2" s="1"/>
  <c r="E23" i="2"/>
  <c r="F23" i="2" s="1"/>
  <c r="E25" i="2"/>
  <c r="F25" i="2" s="1"/>
  <c r="E27" i="2"/>
  <c r="F27" i="2" s="1"/>
  <c r="E31" i="2"/>
  <c r="F31" i="2" s="1"/>
  <c r="E33" i="2"/>
  <c r="F33" i="2" s="1"/>
  <c r="E18" i="2"/>
  <c r="F18" i="2" s="1"/>
  <c r="G10" i="2" l="1"/>
  <c r="D43" i="1" s="1"/>
  <c r="G9" i="2"/>
  <c r="D44" i="1" s="1"/>
  <c r="H9" i="2"/>
  <c r="G11" i="2"/>
  <c r="G35" i="2"/>
  <c r="C22" i="4" s="1"/>
  <c r="H35" i="2"/>
  <c r="D22" i="4" s="1"/>
  <c r="G26" i="2"/>
  <c r="C13" i="4" s="1"/>
  <c r="H26" i="2"/>
  <c r="D13" i="4" s="1"/>
  <c r="H25" i="2"/>
  <c r="D12" i="4" s="1"/>
  <c r="G25" i="2"/>
  <c r="C12" i="4" s="1"/>
  <c r="G29" i="2"/>
  <c r="C16" i="4" s="1"/>
  <c r="H29" i="2"/>
  <c r="D16" i="4" s="1"/>
  <c r="G32" i="2"/>
  <c r="C19" i="4" s="1"/>
  <c r="H32" i="2"/>
  <c r="D19" i="4" s="1"/>
  <c r="G24" i="2"/>
  <c r="H24" i="2"/>
  <c r="D11" i="4" s="1"/>
  <c r="G27" i="2"/>
  <c r="C14" i="4" s="1"/>
  <c r="H27" i="2"/>
  <c r="D14" i="4" s="1"/>
  <c r="H33" i="2"/>
  <c r="D20" i="4" s="1"/>
  <c r="G33" i="2"/>
  <c r="C20" i="4" s="1"/>
  <c r="H23" i="2"/>
  <c r="D10" i="4" s="1"/>
  <c r="G23" i="2"/>
  <c r="C10" i="4" s="1"/>
  <c r="H21" i="2"/>
  <c r="D8" i="4" s="1"/>
  <c r="G21" i="2"/>
  <c r="C8" i="4" s="1"/>
  <c r="G30" i="2"/>
  <c r="H30" i="2"/>
  <c r="D17" i="4" s="1"/>
  <c r="H22" i="2"/>
  <c r="D9" i="4" s="1"/>
  <c r="G22" i="2"/>
  <c r="C9" i="4" s="1"/>
  <c r="G34" i="2"/>
  <c r="C21" i="4" s="1"/>
  <c r="H34" i="2"/>
  <c r="D21" i="4" s="1"/>
  <c r="G31" i="2"/>
  <c r="C18" i="4" s="1"/>
  <c r="H31" i="2"/>
  <c r="D18" i="4" s="1"/>
  <c r="G19" i="2"/>
  <c r="C6" i="4" s="1"/>
  <c r="H19" i="2"/>
  <c r="D6" i="4" s="1"/>
  <c r="G36" i="2"/>
  <c r="C23" i="4" s="1"/>
  <c r="H36" i="2"/>
  <c r="D23" i="4" s="1"/>
  <c r="H28" i="2"/>
  <c r="D15" i="4" s="1"/>
  <c r="G28" i="2"/>
  <c r="C15" i="4" s="1"/>
  <c r="G20" i="2"/>
  <c r="C7" i="4" s="1"/>
  <c r="H20" i="2"/>
  <c r="D7" i="4" s="1"/>
  <c r="G18" i="2"/>
  <c r="C5" i="4" s="1"/>
  <c r="H18" i="2"/>
  <c r="D5" i="4" s="1"/>
  <c r="D39" i="1" l="1"/>
  <c r="D40" i="1" s="1"/>
  <c r="D46" i="1"/>
  <c r="M34" i="1" s="1"/>
  <c r="D45" i="1"/>
  <c r="J34" i="1" s="1"/>
  <c r="C11" i="4"/>
  <c r="C17" i="4"/>
  <c r="D47" i="1" l="1"/>
  <c r="D34" i="1" s="1"/>
  <c r="F54" i="1"/>
  <c r="D41" i="1"/>
  <c r="D35" i="1" s="1"/>
  <c r="F55" i="1"/>
  <c r="C3" i="3" s="1"/>
  <c r="F53" i="1"/>
  <c r="D50" i="1" s="1"/>
  <c r="D36" i="1" s="1"/>
  <c r="C4" i="3" l="1"/>
  <c r="C2" i="3"/>
  <c r="D11" i="3" l="1"/>
  <c r="I11" i="3"/>
  <c r="D30" i="3"/>
  <c r="I16" i="3"/>
  <c r="I15" i="3"/>
  <c r="I29" i="3"/>
  <c r="I33" i="3"/>
  <c r="I26" i="3"/>
  <c r="I30" i="3"/>
  <c r="I23" i="3"/>
  <c r="C5" i="3"/>
  <c r="E11" i="3" s="1"/>
  <c r="F11" i="3" s="1"/>
  <c r="J11" i="3" s="1"/>
  <c r="I19" i="3"/>
  <c r="I22" i="3"/>
  <c r="I31" i="3"/>
  <c r="I35" i="3"/>
  <c r="I28" i="3"/>
  <c r="I21" i="3"/>
  <c r="I27" i="3"/>
  <c r="I20" i="3"/>
  <c r="I37" i="3"/>
  <c r="I25" i="3"/>
  <c r="I32" i="3"/>
  <c r="I36" i="3"/>
  <c r="I34" i="3"/>
  <c r="I24" i="3"/>
  <c r="D31" i="3"/>
  <c r="D22" i="3"/>
  <c r="D29" i="3"/>
  <c r="D32" i="3"/>
  <c r="D25" i="3"/>
  <c r="D33" i="3"/>
  <c r="D21" i="3"/>
  <c r="D20" i="3"/>
  <c r="D24" i="3"/>
  <c r="D34" i="3"/>
  <c r="D26" i="3"/>
  <c r="D27" i="3"/>
  <c r="D36" i="3"/>
  <c r="D28" i="3"/>
  <c r="D37" i="3"/>
  <c r="D23" i="3"/>
  <c r="D35" i="3"/>
  <c r="D19" i="3"/>
  <c r="L11" i="3" l="1"/>
  <c r="K11" i="3"/>
  <c r="N46" i="4" s="1"/>
  <c r="D60" i="1" s="1"/>
  <c r="E26" i="3"/>
  <c r="F26" i="3" s="1"/>
  <c r="J26" i="3" s="1"/>
  <c r="E37" i="3"/>
  <c r="F37" i="3" s="1"/>
  <c r="J37" i="3" s="1"/>
  <c r="E19" i="3"/>
  <c r="F19" i="3" s="1"/>
  <c r="J19" i="3" s="1"/>
  <c r="E30" i="3"/>
  <c r="F30" i="3" s="1"/>
  <c r="J30" i="3" s="1"/>
  <c r="E21" i="3"/>
  <c r="F21" i="3" s="1"/>
  <c r="J21" i="3" s="1"/>
  <c r="E33" i="3"/>
  <c r="F33" i="3" s="1"/>
  <c r="J33" i="3" s="1"/>
  <c r="E35" i="3"/>
  <c r="F35" i="3" s="1"/>
  <c r="J35" i="3" s="1"/>
  <c r="E23" i="3"/>
  <c r="F23" i="3" s="1"/>
  <c r="J23" i="3" s="1"/>
  <c r="E32" i="3"/>
  <c r="F32" i="3" s="1"/>
  <c r="J32" i="3" s="1"/>
  <c r="E25" i="3"/>
  <c r="F25" i="3" s="1"/>
  <c r="J25" i="3" s="1"/>
  <c r="E29" i="3"/>
  <c r="F29" i="3" s="1"/>
  <c r="J29" i="3" s="1"/>
  <c r="E28" i="3"/>
  <c r="F28" i="3" s="1"/>
  <c r="J28" i="3" s="1"/>
  <c r="E24" i="3"/>
  <c r="F24" i="3" s="1"/>
  <c r="J24" i="3" s="1"/>
  <c r="E20" i="3"/>
  <c r="F20" i="3" s="1"/>
  <c r="J20" i="3" s="1"/>
  <c r="E22" i="3"/>
  <c r="F22" i="3" s="1"/>
  <c r="J22" i="3" s="1"/>
  <c r="E36" i="3"/>
  <c r="F36" i="3" s="1"/>
  <c r="J36" i="3" s="1"/>
  <c r="E27" i="3"/>
  <c r="F27" i="3" s="1"/>
  <c r="J27" i="3" s="1"/>
  <c r="E34" i="3"/>
  <c r="F34" i="3" s="1"/>
  <c r="J34" i="3" s="1"/>
  <c r="E31" i="3"/>
  <c r="F31" i="3" s="1"/>
  <c r="J31" i="3" s="1"/>
  <c r="Q47" i="4" l="1"/>
  <c r="Q46" i="4"/>
  <c r="L20" i="3"/>
  <c r="F6" i="4" s="1"/>
  <c r="H6" i="4" s="1"/>
  <c r="I6" i="4" s="1"/>
  <c r="K20" i="3"/>
  <c r="E6" i="4" s="1"/>
  <c r="G6" i="4" s="1"/>
  <c r="J6" i="4" s="1"/>
  <c r="K37" i="3"/>
  <c r="E23" i="4" s="1"/>
  <c r="G23" i="4" s="1"/>
  <c r="J23" i="4" s="1"/>
  <c r="L37" i="3"/>
  <c r="F23" i="4" s="1"/>
  <c r="H23" i="4" s="1"/>
  <c r="I23" i="4" s="1"/>
  <c r="L21" i="3"/>
  <c r="F7" i="4" s="1"/>
  <c r="H7" i="4" s="1"/>
  <c r="I7" i="4" s="1"/>
  <c r="K21" i="3"/>
  <c r="E7" i="4" s="1"/>
  <c r="G7" i="4" s="1"/>
  <c r="J7" i="4" s="1"/>
  <c r="L25" i="3"/>
  <c r="F11" i="4" s="1"/>
  <c r="H11" i="4" s="1"/>
  <c r="I11" i="4" s="1"/>
  <c r="K25" i="3"/>
  <c r="E11" i="4" s="1"/>
  <c r="G11" i="4" s="1"/>
  <c r="J11" i="4" s="1"/>
  <c r="K36" i="3"/>
  <c r="E22" i="4" s="1"/>
  <c r="G22" i="4" s="1"/>
  <c r="J22" i="4" s="1"/>
  <c r="L36" i="3"/>
  <c r="F22" i="4" s="1"/>
  <c r="H22" i="4" s="1"/>
  <c r="I22" i="4" s="1"/>
  <c r="L34" i="3"/>
  <c r="F20" i="4" s="1"/>
  <c r="H20" i="4" s="1"/>
  <c r="I20" i="4" s="1"/>
  <c r="K34" i="3"/>
  <c r="E20" i="4" s="1"/>
  <c r="G20" i="4" s="1"/>
  <c r="J20" i="4" s="1"/>
  <c r="K22" i="3"/>
  <c r="E8" i="4" s="1"/>
  <c r="G8" i="4" s="1"/>
  <c r="J8" i="4" s="1"/>
  <c r="L22" i="3"/>
  <c r="F8" i="4" s="1"/>
  <c r="H8" i="4" s="1"/>
  <c r="I8" i="4" s="1"/>
  <c r="L19" i="3"/>
  <c r="F5" i="4" s="1"/>
  <c r="H5" i="4" s="1"/>
  <c r="I5" i="4" s="1"/>
  <c r="K19" i="3"/>
  <c r="E5" i="4" s="1"/>
  <c r="G5" i="4" s="1"/>
  <c r="J5" i="4" s="1"/>
  <c r="L35" i="3"/>
  <c r="F21" i="4" s="1"/>
  <c r="H21" i="4" s="1"/>
  <c r="I21" i="4" s="1"/>
  <c r="K35" i="3"/>
  <c r="E21" i="4" s="1"/>
  <c r="G21" i="4" s="1"/>
  <c r="J21" i="4" s="1"/>
  <c r="L26" i="3"/>
  <c r="F12" i="4" s="1"/>
  <c r="H12" i="4" s="1"/>
  <c r="I12" i="4" s="1"/>
  <c r="K26" i="3"/>
  <c r="E12" i="4" s="1"/>
  <c r="G12" i="4" s="1"/>
  <c r="J12" i="4" s="1"/>
  <c r="K27" i="3"/>
  <c r="E13" i="4" s="1"/>
  <c r="G13" i="4" s="1"/>
  <c r="J13" i="4" s="1"/>
  <c r="L27" i="3"/>
  <c r="F13" i="4" s="1"/>
  <c r="H13" i="4" s="1"/>
  <c r="I13" i="4" s="1"/>
  <c r="K33" i="3"/>
  <c r="E19" i="4" s="1"/>
  <c r="G19" i="4" s="1"/>
  <c r="J19" i="4" s="1"/>
  <c r="L33" i="3"/>
  <c r="F19" i="4" s="1"/>
  <c r="H19" i="4" s="1"/>
  <c r="I19" i="4" s="1"/>
  <c r="L29" i="3"/>
  <c r="F15" i="4" s="1"/>
  <c r="H15" i="4" s="1"/>
  <c r="I15" i="4" s="1"/>
  <c r="K29" i="3"/>
  <c r="E15" i="4" s="1"/>
  <c r="G15" i="4" s="1"/>
  <c r="J15" i="4" s="1"/>
  <c r="L24" i="3"/>
  <c r="F10" i="4" s="1"/>
  <c r="H10" i="4" s="1"/>
  <c r="I10" i="4" s="1"/>
  <c r="K24" i="3"/>
  <c r="E10" i="4" s="1"/>
  <c r="G10" i="4" s="1"/>
  <c r="J10" i="4" s="1"/>
  <c r="L32" i="3"/>
  <c r="F18" i="4" s="1"/>
  <c r="H18" i="4" s="1"/>
  <c r="I18" i="4" s="1"/>
  <c r="K32" i="3"/>
  <c r="E18" i="4" s="1"/>
  <c r="G18" i="4" s="1"/>
  <c r="J18" i="4" s="1"/>
  <c r="L31" i="3"/>
  <c r="F17" i="4" s="1"/>
  <c r="H17" i="4" s="1"/>
  <c r="I17" i="4" s="1"/>
  <c r="K31" i="3"/>
  <c r="K28" i="3"/>
  <c r="E14" i="4" s="1"/>
  <c r="G14" i="4" s="1"/>
  <c r="J14" i="4" s="1"/>
  <c r="L28" i="3"/>
  <c r="F14" i="4" s="1"/>
  <c r="H14" i="4" s="1"/>
  <c r="I14" i="4" s="1"/>
  <c r="K23" i="3"/>
  <c r="E9" i="4" s="1"/>
  <c r="G9" i="4" s="1"/>
  <c r="J9" i="4" s="1"/>
  <c r="L23" i="3"/>
  <c r="F9" i="4" s="1"/>
  <c r="H9" i="4" s="1"/>
  <c r="I9" i="4" s="1"/>
  <c r="K30" i="3"/>
  <c r="E16" i="4" s="1"/>
  <c r="G16" i="4" s="1"/>
  <c r="J16" i="4" s="1"/>
  <c r="L30" i="3"/>
  <c r="F16" i="4" s="1"/>
  <c r="H16" i="4" s="1"/>
  <c r="I16" i="4" s="1"/>
  <c r="E17" i="4" l="1"/>
  <c r="G17" i="4" s="1"/>
  <c r="J17" i="4" l="1"/>
  <c r="D27" i="4" s="1"/>
  <c r="D28" i="4" s="1"/>
  <c r="B15" i="3" s="1"/>
  <c r="C15" i="3" s="1"/>
  <c r="E28" i="4" l="1"/>
  <c r="B15" i="2" s="1"/>
  <c r="C15" i="2" s="1"/>
  <c r="D15" i="2" s="1"/>
  <c r="F15" i="2" s="1"/>
  <c r="H15" i="2" s="1"/>
  <c r="D33" i="4" s="1"/>
  <c r="B14" i="2"/>
  <c r="C14" i="2" s="1"/>
  <c r="D14" i="2" s="1"/>
  <c r="F14" i="2" s="1"/>
  <c r="H14" i="2" s="1"/>
  <c r="D32" i="4" s="1"/>
  <c r="B32" i="4"/>
  <c r="E15" i="3"/>
  <c r="F15" i="3" s="1"/>
  <c r="D15" i="3"/>
  <c r="G15" i="3"/>
  <c r="H15" i="3" s="1"/>
  <c r="B33" i="4" l="1"/>
  <c r="B16" i="3"/>
  <c r="C16" i="3" s="1"/>
  <c r="G14" i="2"/>
  <c r="C32" i="4" s="1"/>
  <c r="G15" i="2"/>
  <c r="C33" i="4" s="1"/>
  <c r="J15" i="3"/>
  <c r="L15" i="3" s="1"/>
  <c r="F32" i="4" s="1"/>
  <c r="H32" i="4" s="1"/>
  <c r="I32" i="4" s="1"/>
  <c r="D16" i="3"/>
  <c r="E16" i="3"/>
  <c r="F16" i="3" s="1"/>
  <c r="G16" i="3"/>
  <c r="H16" i="3" s="1"/>
  <c r="J16" i="3" l="1"/>
  <c r="L16" i="3" s="1"/>
  <c r="F33" i="4" s="1"/>
  <c r="H33" i="4" s="1"/>
  <c r="I33" i="4" s="1"/>
  <c r="E39" i="4" s="1"/>
  <c r="K15" i="3"/>
  <c r="E32" i="4" s="1"/>
  <c r="G32" i="4" s="1"/>
  <c r="K16" i="3" l="1"/>
  <c r="E33" i="4" s="1"/>
  <c r="G33" i="4" s="1"/>
  <c r="E35" i="4" s="1"/>
  <c r="G35" i="4" s="1"/>
  <c r="E37" i="4" s="1"/>
  <c r="G39" i="4"/>
  <c r="D59" i="1" l="1"/>
  <c r="E41" i="4"/>
  <c r="M40" i="4"/>
  <c r="D58" i="1" l="1"/>
  <c r="N40" i="4"/>
  <c r="N41" i="4"/>
  <c r="O40" i="4"/>
</calcChain>
</file>

<file path=xl/sharedStrings.xml><?xml version="1.0" encoding="utf-8"?>
<sst xmlns="http://schemas.openxmlformats.org/spreadsheetml/2006/main" count="202" uniqueCount="124">
  <si>
    <t>Vin</t>
    <phoneticPr fontId="1"/>
  </si>
  <si>
    <t>Vac</t>
    <phoneticPr fontId="1"/>
  </si>
  <si>
    <t>uH</t>
    <phoneticPr fontId="1"/>
  </si>
  <si>
    <t>us</t>
    <phoneticPr fontId="1"/>
  </si>
  <si>
    <t>A</t>
    <phoneticPr fontId="1"/>
  </si>
  <si>
    <t>Arms</t>
    <phoneticPr fontId="1"/>
  </si>
  <si>
    <t>W</t>
    <phoneticPr fontId="1"/>
  </si>
  <si>
    <t>Vo</t>
    <phoneticPr fontId="1"/>
  </si>
  <si>
    <t>V</t>
    <phoneticPr fontId="1"/>
  </si>
  <si>
    <t>Ro</t>
    <phoneticPr fontId="1"/>
  </si>
  <si>
    <t>ohm</t>
    <phoneticPr fontId="1"/>
  </si>
  <si>
    <t>uF</t>
    <phoneticPr fontId="1"/>
  </si>
  <si>
    <t>F</t>
    <phoneticPr fontId="1"/>
  </si>
  <si>
    <t>k</t>
    <phoneticPr fontId="1"/>
  </si>
  <si>
    <t>K</t>
    <phoneticPr fontId="1"/>
  </si>
  <si>
    <t>Co</t>
    <phoneticPr fontId="1"/>
  </si>
  <si>
    <t>f</t>
    <phoneticPr fontId="1"/>
  </si>
  <si>
    <t>w</t>
    <phoneticPr fontId="1"/>
  </si>
  <si>
    <t>(CoRos+1)</t>
    <phoneticPr fontId="1"/>
  </si>
  <si>
    <t>係数</t>
    <rPh sb="0" eb="2">
      <t>ケイスウ</t>
    </rPh>
    <phoneticPr fontId="1"/>
  </si>
  <si>
    <t>Gain</t>
    <phoneticPr fontId="1"/>
  </si>
  <si>
    <t>Gain(dB)</t>
    <phoneticPr fontId="1"/>
  </si>
  <si>
    <t>Phase(°)</t>
    <phoneticPr fontId="1"/>
  </si>
  <si>
    <t>Gm</t>
    <phoneticPr fontId="1"/>
  </si>
  <si>
    <t>検出比</t>
    <rPh sb="0" eb="2">
      <t>ケンシュツ</t>
    </rPh>
    <rPh sb="2" eb="3">
      <t>ヒ</t>
    </rPh>
    <phoneticPr fontId="1"/>
  </si>
  <si>
    <t>S</t>
    <phoneticPr fontId="1"/>
  </si>
  <si>
    <t>1/s</t>
    <phoneticPr fontId="1"/>
  </si>
  <si>
    <t>メイン</t>
    <phoneticPr fontId="1"/>
  </si>
  <si>
    <t>Phase</t>
    <phoneticPr fontId="1"/>
  </si>
  <si>
    <t>amp</t>
    <phoneticPr fontId="1"/>
  </si>
  <si>
    <t>全体</t>
    <rPh sb="0" eb="2">
      <t>ゼンタイ</t>
    </rPh>
    <phoneticPr fontId="1"/>
  </si>
  <si>
    <t>Line freq.</t>
    <phoneticPr fontId="1"/>
  </si>
  <si>
    <t>Hz</t>
    <phoneticPr fontId="1"/>
  </si>
  <si>
    <t>MainGain</t>
    <phoneticPr fontId="1"/>
  </si>
  <si>
    <t>Spot(定数計算用）</t>
    <rPh sb="5" eb="7">
      <t>テイスウ</t>
    </rPh>
    <rPh sb="7" eb="9">
      <t>ケイサン</t>
    </rPh>
    <rPh sb="9" eb="10">
      <t>ヨウ</t>
    </rPh>
    <phoneticPr fontId="1"/>
  </si>
  <si>
    <t>@2*fac</t>
    <phoneticPr fontId="1"/>
  </si>
  <si>
    <t>@2*fac/5</t>
    <phoneticPr fontId="1"/>
  </si>
  <si>
    <t>@2*fac/10</t>
    <phoneticPr fontId="1"/>
  </si>
  <si>
    <t>2*fac</t>
    <phoneticPr fontId="1"/>
  </si>
  <si>
    <t>f</t>
    <phoneticPr fontId="1"/>
  </si>
  <si>
    <t>Phase margin検討用</t>
    <rPh sb="12" eb="14">
      <t>ケントウ</t>
    </rPh>
    <rPh sb="14" eb="15">
      <t>ヨウ</t>
    </rPh>
    <phoneticPr fontId="1"/>
  </si>
  <si>
    <t>Gain0に近いｆ</t>
    <rPh sb="6" eb="7">
      <t>チカ</t>
    </rPh>
    <phoneticPr fontId="1"/>
  </si>
  <si>
    <t>直線近似するf　2点</t>
    <rPh sb="0" eb="2">
      <t>チョクセン</t>
    </rPh>
    <rPh sb="2" eb="4">
      <t>キンジ</t>
    </rPh>
    <rPh sb="9" eb="10">
      <t>テン</t>
    </rPh>
    <phoneticPr fontId="1"/>
  </si>
  <si>
    <t>Spot（Phase margin計算用）</t>
    <rPh sb="17" eb="19">
      <t>ケイサン</t>
    </rPh>
    <rPh sb="19" eb="20">
      <t>ヨウ</t>
    </rPh>
    <phoneticPr fontId="1"/>
  </si>
  <si>
    <t>Phase margin計算</t>
    <rPh sb="12" eb="14">
      <t>ケイサン</t>
    </rPh>
    <phoneticPr fontId="1"/>
  </si>
  <si>
    <t>Gain直線近似</t>
    <rPh sb="4" eb="6">
      <t>チョクセン</t>
    </rPh>
    <rPh sb="6" eb="8">
      <t>キンジ</t>
    </rPh>
    <phoneticPr fontId="1"/>
  </si>
  <si>
    <t>G=</t>
    <phoneticPr fontId="1"/>
  </si>
  <si>
    <t>×f　＋</t>
    <phoneticPr fontId="1"/>
  </si>
  <si>
    <t>Gain 0dB</t>
    <phoneticPr fontId="1"/>
  </si>
  <si>
    <t>f=</t>
    <phoneticPr fontId="1"/>
  </si>
  <si>
    <t>Phase直線近似</t>
    <rPh sb="5" eb="7">
      <t>チョクセン</t>
    </rPh>
    <rPh sb="7" eb="9">
      <t>キンジ</t>
    </rPh>
    <phoneticPr fontId="1"/>
  </si>
  <si>
    <t>Ph=</t>
    <phoneticPr fontId="1"/>
  </si>
  <si>
    <t>Phase margin</t>
    <phoneticPr fontId="1"/>
  </si>
  <si>
    <t>Phase margin</t>
    <phoneticPr fontId="1"/>
  </si>
  <si>
    <t>破線</t>
    <rPh sb="0" eb="2">
      <t>ハセン</t>
    </rPh>
    <phoneticPr fontId="1"/>
  </si>
  <si>
    <t>赤線</t>
    <rPh sb="0" eb="2">
      <t>アカセン</t>
    </rPh>
    <phoneticPr fontId="1"/>
  </si>
  <si>
    <t>Spot（定数計算用）</t>
    <rPh sb="5" eb="7">
      <t>テイスウ</t>
    </rPh>
    <rPh sb="7" eb="9">
      <t>ケイサン</t>
    </rPh>
    <rPh sb="9" eb="10">
      <t>ヨウ</t>
    </rPh>
    <phoneticPr fontId="1"/>
  </si>
  <si>
    <t>Phase margin表示用</t>
    <rPh sb="12" eb="14">
      <t>ヒョウジ</t>
    </rPh>
    <rPh sb="14" eb="15">
      <t>ヨウ</t>
    </rPh>
    <phoneticPr fontId="1"/>
  </si>
  <si>
    <t>2×fac表示用</t>
    <rPh sb="5" eb="7">
      <t>ヒョウジ</t>
    </rPh>
    <rPh sb="7" eb="8">
      <t>ヨウ</t>
    </rPh>
    <phoneticPr fontId="1"/>
  </si>
  <si>
    <t>ｆ</t>
    <phoneticPr fontId="1"/>
  </si>
  <si>
    <t>Gain@2*fac</t>
    <phoneticPr fontId="1"/>
  </si>
  <si>
    <t>破線</t>
    <rPh sb="0" eb="2">
      <t>ハセン</t>
    </rPh>
    <phoneticPr fontId="1"/>
  </si>
  <si>
    <t>f</t>
    <phoneticPr fontId="1"/>
  </si>
  <si>
    <t>Gain</t>
    <phoneticPr fontId="1"/>
  </si>
  <si>
    <t>1. Condition input</t>
    <phoneticPr fontId="1"/>
  </si>
  <si>
    <t>PFC_Vo</t>
    <phoneticPr fontId="1"/>
  </si>
  <si>
    <t>2. Calucuration result</t>
    <phoneticPr fontId="1"/>
  </si>
  <si>
    <t>uF</t>
    <phoneticPr fontId="1"/>
  </si>
  <si>
    <t>kΩ</t>
    <phoneticPr fontId="1"/>
  </si>
  <si>
    <t>Gm (IC erroer amp)</t>
    <phoneticPr fontId="1"/>
  </si>
  <si>
    <t>Ton_max. (IC spec.)</t>
    <phoneticPr fontId="1"/>
  </si>
  <si>
    <t>*80umho(typ.)</t>
    <phoneticPr fontId="1"/>
  </si>
  <si>
    <t>4. Rsult corresponding to the selected value</t>
    <phoneticPr fontId="1"/>
  </si>
  <si>
    <t>Phase margine</t>
    <phoneticPr fontId="1"/>
  </si>
  <si>
    <t>deg</t>
    <phoneticPr fontId="1"/>
  </si>
  <si>
    <t>Crossover freq.</t>
    <phoneticPr fontId="1"/>
  </si>
  <si>
    <t>Hz</t>
    <phoneticPr fontId="1"/>
  </si>
  <si>
    <t>dB</t>
    <phoneticPr fontId="1"/>
  </si>
  <si>
    <t>Gain@2*line freq.</t>
    <phoneticPr fontId="1"/>
  </si>
  <si>
    <t>kΩ</t>
    <phoneticPr fontId="1"/>
  </si>
  <si>
    <t>uF</t>
    <phoneticPr fontId="1"/>
  </si>
  <si>
    <t>uF</t>
    <phoneticPr fontId="1"/>
  </si>
  <si>
    <t>to</t>
    <phoneticPr fontId="1"/>
  </si>
  <si>
    <r>
      <rPr>
        <sz val="11"/>
        <color theme="1"/>
        <rFont val="ＭＳ Ｐゴシック"/>
        <family val="2"/>
        <charset val="128"/>
      </rPr>
      <t>検出比率</t>
    </r>
    <rPh sb="0" eb="2">
      <t>ケンシュツ</t>
    </rPh>
    <rPh sb="2" eb="4">
      <t>ヒリツ</t>
    </rPh>
    <phoneticPr fontId="1"/>
  </si>
  <si>
    <r>
      <rPr>
        <sz val="11"/>
        <color theme="1"/>
        <rFont val="ＭＳ Ｐゴシック"/>
        <family val="2"/>
        <charset val="128"/>
      </rPr>
      <t>計算</t>
    </r>
    <rPh sb="0" eb="2">
      <t>ケイサン</t>
    </rPh>
    <phoneticPr fontId="1"/>
  </si>
  <si>
    <r>
      <rPr>
        <sz val="11"/>
        <color theme="1"/>
        <rFont val="ＭＳ Ｐゴシック"/>
        <family val="2"/>
        <charset val="128"/>
      </rPr>
      <t>最大</t>
    </r>
    <r>
      <rPr>
        <sz val="11"/>
        <color theme="1"/>
        <rFont val="Arial"/>
        <family val="2"/>
      </rPr>
      <t>Ilp</t>
    </r>
    <rPh sb="0" eb="2">
      <t>サイダイ</t>
    </rPh>
    <phoneticPr fontId="1"/>
  </si>
  <si>
    <r>
      <rPr>
        <sz val="11"/>
        <color theme="1"/>
        <rFont val="ＭＳ Ｐゴシック"/>
        <family val="2"/>
        <charset val="128"/>
      </rPr>
      <t>最大</t>
    </r>
    <r>
      <rPr>
        <sz val="11"/>
        <color theme="1"/>
        <rFont val="Arial"/>
        <family val="2"/>
      </rPr>
      <t>Iac(peak)</t>
    </r>
    <rPh sb="0" eb="2">
      <t>サイダイ</t>
    </rPh>
    <phoneticPr fontId="1"/>
  </si>
  <si>
    <r>
      <rPr>
        <sz val="11"/>
        <color theme="1"/>
        <rFont val="ＭＳ Ｐゴシック"/>
        <family val="2"/>
        <charset val="128"/>
      </rPr>
      <t>最大</t>
    </r>
    <r>
      <rPr>
        <sz val="11"/>
        <color theme="1"/>
        <rFont val="Arial"/>
        <family val="2"/>
      </rPr>
      <t>Iac(rms)</t>
    </r>
    <rPh sb="0" eb="2">
      <t>サイダイ</t>
    </rPh>
    <phoneticPr fontId="1"/>
  </si>
  <si>
    <r>
      <rPr>
        <sz val="11"/>
        <color theme="1"/>
        <rFont val="ＭＳ Ｐゴシック"/>
        <family val="2"/>
        <charset val="128"/>
      </rPr>
      <t>最大</t>
    </r>
    <r>
      <rPr>
        <sz val="11"/>
        <color theme="1"/>
        <rFont val="Arial"/>
        <family val="2"/>
      </rPr>
      <t>Pin</t>
    </r>
    <rPh sb="0" eb="2">
      <t>サイダイ</t>
    </rPh>
    <phoneticPr fontId="1"/>
  </si>
  <si>
    <r>
      <t>Comp-Pin</t>
    </r>
    <r>
      <rPr>
        <sz val="11"/>
        <color theme="1"/>
        <rFont val="ＭＳ Ｐゴシック"/>
        <family val="2"/>
        <charset val="128"/>
      </rPr>
      <t>係数（</t>
    </r>
    <r>
      <rPr>
        <sz val="11"/>
        <color theme="1"/>
        <rFont val="Arial"/>
        <family val="2"/>
      </rPr>
      <t>K)</t>
    </r>
    <rPh sb="8" eb="10">
      <t>ケイスウ</t>
    </rPh>
    <phoneticPr fontId="1"/>
  </si>
  <si>
    <r>
      <t>Pin=(</t>
    </r>
    <r>
      <rPr>
        <sz val="11"/>
        <color theme="1"/>
        <rFont val="ＭＳ Ｐゴシック"/>
        <family val="2"/>
        <charset val="128"/>
      </rPr>
      <t>係数</t>
    </r>
    <r>
      <rPr>
        <sz val="11"/>
        <color theme="1"/>
        <rFont val="Arial"/>
        <family val="2"/>
      </rPr>
      <t>)*(Vcomp-0.6)</t>
    </r>
    <rPh sb="5" eb="7">
      <t>ケイスウ</t>
    </rPh>
    <phoneticPr fontId="1"/>
  </si>
  <si>
    <r>
      <rPr>
        <sz val="11"/>
        <color theme="1"/>
        <rFont val="ＭＳ Ｐゴシック"/>
        <family val="2"/>
        <charset val="128"/>
      </rPr>
      <t>必要</t>
    </r>
    <r>
      <rPr>
        <sz val="11"/>
        <color theme="1"/>
        <rFont val="Arial"/>
        <family val="2"/>
      </rPr>
      <t>Gain</t>
    </r>
    <rPh sb="0" eb="2">
      <t>ヒツヨウ</t>
    </rPh>
    <phoneticPr fontId="1"/>
  </si>
  <si>
    <t>umho</t>
    <phoneticPr fontId="1"/>
  </si>
  <si>
    <t>C5</t>
    <phoneticPr fontId="1"/>
  </si>
  <si>
    <t>R3</t>
    <phoneticPr fontId="1"/>
  </si>
  <si>
    <t>C4</t>
    <phoneticPr fontId="1"/>
  </si>
  <si>
    <t>*Target C5 range</t>
    <phoneticPr fontId="1"/>
  </si>
  <si>
    <r>
      <t>R3</t>
    </r>
    <r>
      <rPr>
        <sz val="11"/>
        <color theme="1"/>
        <rFont val="ＭＳ Ｐゴシック"/>
        <family val="2"/>
        <charset val="128"/>
      </rPr>
      <t>抵抗</t>
    </r>
    <rPh sb="2" eb="4">
      <t>テイコウ</t>
    </rPh>
    <phoneticPr fontId="1"/>
  </si>
  <si>
    <t>C5(min)</t>
    <phoneticPr fontId="1"/>
  </si>
  <si>
    <t>C5(max)</t>
    <phoneticPr fontId="1"/>
  </si>
  <si>
    <t>C5(ave)</t>
    <phoneticPr fontId="1"/>
  </si>
  <si>
    <r>
      <t>C5+C4(</t>
    </r>
    <r>
      <rPr>
        <sz val="11"/>
        <color theme="1"/>
        <rFont val="ＭＳ Ｐゴシック"/>
        <family val="2"/>
        <charset val="128"/>
      </rPr>
      <t>直列）</t>
    </r>
    <rPh sb="6" eb="8">
      <t>チョクレツ</t>
    </rPh>
    <phoneticPr fontId="1"/>
  </si>
  <si>
    <t>PFC inductor</t>
    <phoneticPr fontId="1"/>
  </si>
  <si>
    <t>C4C5/(C4+C5)</t>
    <phoneticPr fontId="1"/>
  </si>
  <si>
    <t>(C5R3S+1)</t>
    <phoneticPr fontId="1"/>
  </si>
  <si>
    <t>(C4C5R3/(C4+C5)*S+1)</t>
    <phoneticPr fontId="1"/>
  </si>
  <si>
    <t>1/(C4C5R3/(C4+C5)*S+1)</t>
    <phoneticPr fontId="1"/>
  </si>
  <si>
    <t>The result by this design tool is reference data for design support and does not guarantee any operation or characteristics.</t>
  </si>
  <si>
    <t>(Note)</t>
    <phoneticPr fontId="8"/>
  </si>
  <si>
    <t>Please decide each components value after evaluate on acutual PSU.</t>
    <phoneticPr fontId="1"/>
  </si>
  <si>
    <t xml:space="preserve">  If phase margin is large, operation is stable but response becomes slow.</t>
    <phoneticPr fontId="1"/>
  </si>
  <si>
    <t xml:space="preserve"> If gain at 2*line frequency is large, response is quick but PF is down.</t>
    <phoneticPr fontId="1"/>
  </si>
  <si>
    <t>* Phase margin target: around 40deg to 60deg.</t>
    <phoneticPr fontId="1"/>
  </si>
  <si>
    <t>*Gain@2*line frequency target: around -20dB</t>
    <phoneticPr fontId="1"/>
  </si>
  <si>
    <t>*Usually, input the highest line voltage.</t>
    <phoneticPr fontId="1"/>
  </si>
  <si>
    <t>*50Hz, if rated line frequency is 50Hz or 60Hz.</t>
    <phoneticPr fontId="1"/>
  </si>
  <si>
    <t>Input cell</t>
    <phoneticPr fontId="1"/>
  </si>
  <si>
    <t>Output Power Po</t>
    <phoneticPr fontId="1"/>
  </si>
  <si>
    <t>Output capacitor Co</t>
    <phoneticPr fontId="1"/>
  </si>
  <si>
    <r>
      <t>3.</t>
    </r>
    <r>
      <rPr>
        <sz val="11"/>
        <color theme="1"/>
        <rFont val="ＭＳ Ｐゴシック"/>
        <family val="2"/>
        <charset val="128"/>
      </rPr>
      <t>　</t>
    </r>
    <r>
      <rPr>
        <sz val="11"/>
        <color theme="1"/>
        <rFont val="Arial"/>
        <family val="2"/>
      </rPr>
      <t xml:space="preserve">Input selected value </t>
    </r>
    <phoneticPr fontId="1"/>
  </si>
  <si>
    <t xml:space="preserve">*Read out form "Caracteristic curve" on IC </t>
    <phoneticPr fontId="1"/>
  </si>
  <si>
    <t xml:space="preserve">  data sheet corresponding to selected RT.</t>
    <phoneticPr fontId="1"/>
  </si>
  <si>
    <t>19-09-30</t>
    <phoneticPr fontId="1"/>
  </si>
  <si>
    <t>FA1Axx Phase compensation design tool (Rev.1.0)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</si>
</sst>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00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11"/>
      <name val="ＭＳ Ｐゴシック"/>
      <family val="3"/>
      <charset val="128"/>
    </font>
    <font>
      <sz val="11"/>
      <name val="Arial"/>
      <family val="2"/>
      <charset val="134"/>
    </font>
    <font>
      <sz val="6"/>
      <name val="ＭＳ Ｐゴシック"/>
      <family val="3"/>
      <charset val="128"/>
    </font>
    <font>
      <sz val="10"/>
      <name val="Arial"/>
      <family val="2"/>
      <charset val="134"/>
    </font>
    <font>
      <sz val="10"/>
      <name val="Arial"/>
      <family val="2"/>
    </font>
    <font>
      <sz val="10"/>
      <color theme="1"/>
      <name val="Arial"/>
      <family val="2"/>
    </font>
    <font>
      <b/>
      <u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quotePrefix="1">
      <alignment vertical="center"/>
    </xf>
    <xf numFmtId="2" fontId="0" fillId="0" borderId="0" xfId="0" applyNumberFormat="1">
      <alignment vertical="center"/>
    </xf>
    <xf numFmtId="176" fontId="0" fillId="0" borderId="0" xfId="0" applyNumberFormat="1">
      <alignment vertical="center"/>
    </xf>
    <xf numFmtId="1" fontId="0" fillId="0" borderId="0" xfId="0" applyNumberFormat="1">
      <alignment vertical="center"/>
    </xf>
    <xf numFmtId="49" fontId="7" fillId="0" borderId="0" xfId="1" applyNumberFormat="1" applyFont="1" applyProtection="1">
      <alignment vertical="center"/>
      <protection hidden="1"/>
    </xf>
    <xf numFmtId="49" fontId="5" fillId="0" borderId="0" xfId="1" applyNumberFormat="1" applyFont="1" applyProtection="1">
      <alignment vertical="center"/>
      <protection hidden="1"/>
    </xf>
    <xf numFmtId="49" fontId="9" fillId="0" borderId="0" xfId="1" applyNumberFormat="1" applyFont="1" applyProtection="1">
      <alignment vertical="center"/>
      <protection hidden="1"/>
    </xf>
    <xf numFmtId="49" fontId="10" fillId="0" borderId="0" xfId="1" applyNumberFormat="1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quotePrefix="1" applyFont="1" applyProtection="1">
      <alignment vertical="center"/>
      <protection hidden="1"/>
    </xf>
    <xf numFmtId="0" fontId="12" fillId="0" borderId="0" xfId="0" applyFont="1" applyProtection="1">
      <alignment vertical="center"/>
      <protection hidden="1"/>
    </xf>
    <xf numFmtId="0" fontId="11" fillId="0" borderId="0" xfId="0" applyFont="1" applyProtection="1">
      <alignment vertical="center"/>
      <protection hidden="1"/>
    </xf>
    <xf numFmtId="0" fontId="4" fillId="0" borderId="0" xfId="0" applyFont="1" applyProtection="1">
      <alignment vertical="center"/>
      <protection hidden="1"/>
    </xf>
    <xf numFmtId="0" fontId="5" fillId="0" borderId="0" xfId="0" applyFont="1" applyProtection="1">
      <alignment vertical="center"/>
      <protection hidden="1"/>
    </xf>
    <xf numFmtId="1" fontId="3" fillId="0" borderId="0" xfId="0" applyNumberFormat="1" applyFont="1" applyProtection="1">
      <alignment vertical="center"/>
      <protection hidden="1"/>
    </xf>
    <xf numFmtId="177" fontId="3" fillId="0" borderId="0" xfId="0" applyNumberFormat="1" applyFont="1" applyProtection="1">
      <alignment vertical="center"/>
      <protection hidden="1"/>
    </xf>
    <xf numFmtId="176" fontId="3" fillId="0" borderId="0" xfId="0" applyNumberFormat="1" applyFont="1" applyProtection="1">
      <alignment vertical="center"/>
      <protection hidden="1"/>
    </xf>
    <xf numFmtId="0" fontId="3" fillId="2" borderId="0" xfId="0" applyFont="1" applyFill="1" applyProtection="1">
      <alignment vertical="center"/>
      <protection locked="0" hidden="1"/>
    </xf>
    <xf numFmtId="0" fontId="3" fillId="2" borderId="0" xfId="0" applyFont="1" applyFill="1" applyProtection="1">
      <alignment vertical="center"/>
      <protection hidden="1"/>
    </xf>
    <xf numFmtId="0" fontId="0" fillId="0" borderId="0" xfId="0" applyAlignment="1">
      <alignment horizontal="center" vertical="center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altLang="ja-JP" sz="1100"/>
              <a:t>Loop gain corresponding to selected value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313670166229222"/>
          <c:y val="0.13055555555555556"/>
          <c:w val="0.72871281714785652"/>
          <c:h val="0.700910615339749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全体!$G$4</c:f>
              <c:strCache>
                <c:ptCount val="1"/>
                <c:pt idx="0">
                  <c:v>Gain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全体!$B$5:$B$23</c:f>
              <c:numCache>
                <c:formatCode>General</c:formatCode>
                <c:ptCount val="19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7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30</c:v>
                </c:pt>
                <c:pt idx="10">
                  <c:v>50</c:v>
                </c:pt>
                <c:pt idx="11">
                  <c:v>70</c:v>
                </c:pt>
                <c:pt idx="12">
                  <c:v>100</c:v>
                </c:pt>
                <c:pt idx="13">
                  <c:v>150</c:v>
                </c:pt>
                <c:pt idx="14">
                  <c:v>200</c:v>
                </c:pt>
                <c:pt idx="15">
                  <c:v>300</c:v>
                </c:pt>
                <c:pt idx="16">
                  <c:v>500</c:v>
                </c:pt>
                <c:pt idx="17">
                  <c:v>700</c:v>
                </c:pt>
                <c:pt idx="18">
                  <c:v>1000</c:v>
                </c:pt>
              </c:numCache>
            </c:numRef>
          </c:xVal>
          <c:yVal>
            <c:numRef>
              <c:f>全体!$G$5:$G$23</c:f>
              <c:numCache>
                <c:formatCode>General</c:formatCode>
                <c:ptCount val="19"/>
                <c:pt idx="0">
                  <c:v>39.819710802350201</c:v>
                </c:pt>
                <c:pt idx="1">
                  <c:v>34.215541767231912</c:v>
                </c:pt>
                <c:pt idx="2">
                  <c:v>29.9403189023976</c:v>
                </c:pt>
                <c:pt idx="3">
                  <c:v>23.733484122099611</c:v>
                </c:pt>
                <c:pt idx="4">
                  <c:v>16.108391489918127</c:v>
                </c:pt>
                <c:pt idx="5">
                  <c:v>11.479458167484196</c:v>
                </c:pt>
                <c:pt idx="6">
                  <c:v>7.0243110454398376</c:v>
                </c:pt>
                <c:pt idx="7">
                  <c:v>2.4370186721534353</c:v>
                </c:pt>
                <c:pt idx="8">
                  <c:v>-0.65259945448780599</c:v>
                </c:pt>
                <c:pt idx="9">
                  <c:v>-5.0410819792055079</c:v>
                </c:pt>
                <c:pt idx="10">
                  <c:v>-11.099442411576621</c:v>
                </c:pt>
                <c:pt idx="11">
                  <c:v>-15.619649301845005</c:v>
                </c:pt>
                <c:pt idx="12">
                  <c:v>-20.88760945975833</c:v>
                </c:pt>
                <c:pt idx="13">
                  <c:v>-27.335345434167021</c:v>
                </c:pt>
                <c:pt idx="14">
                  <c:v>-32.102471150878443</c:v>
                </c:pt>
                <c:pt idx="15">
                  <c:v>-38.973409990162843</c:v>
                </c:pt>
                <c:pt idx="16">
                  <c:v>-47.756100301920434</c:v>
                </c:pt>
                <c:pt idx="17">
                  <c:v>-53.57572619342082</c:v>
                </c:pt>
                <c:pt idx="18">
                  <c:v>-59.758196863690337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581-46D8-A321-65A22CA38245}"/>
            </c:ext>
          </c:extLst>
        </c:ser>
        <c:ser>
          <c:idx val="4"/>
          <c:order val="3"/>
          <c:tx>
            <c:strRef>
              <c:f>全体!$N$45</c:f>
              <c:strCache>
                <c:ptCount val="1"/>
                <c:pt idx="0">
                  <c:v>Gain@2*fac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7"/>
            <c:spPr>
              <a:noFill/>
              <a:ln w="25400" cmpd="sng">
                <a:solidFill>
                  <a:srgbClr val="FF0000"/>
                </a:solidFill>
              </a:ln>
              <a:effectLst/>
            </c:spPr>
          </c:marker>
          <c:xVal>
            <c:numRef>
              <c:f>全体!$M$46</c:f>
              <c:numCache>
                <c:formatCode>General</c:formatCode>
                <c:ptCount val="1"/>
                <c:pt idx="0">
                  <c:v>100</c:v>
                </c:pt>
              </c:numCache>
            </c:numRef>
          </c:xVal>
          <c:yVal>
            <c:numRef>
              <c:f>全体!$N$46</c:f>
              <c:numCache>
                <c:formatCode>General</c:formatCode>
                <c:ptCount val="1"/>
                <c:pt idx="0">
                  <c:v>-20.88760945975833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581-46D8-A321-65A22CA38245}"/>
            </c:ext>
          </c:extLst>
        </c:ser>
        <c:ser>
          <c:idx val="5"/>
          <c:order val="5"/>
          <c:tx>
            <c:strRef>
              <c:f>全体!$P$44</c:f>
              <c:strCache>
                <c:ptCount val="1"/>
                <c:pt idx="0">
                  <c:v>破線</c:v>
                </c:pt>
              </c:strCache>
            </c:strRef>
          </c:tx>
          <c:spPr>
            <a:ln w="952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全体!$P$46:$P$47</c:f>
              <c:numCache>
                <c:formatCode>General</c:formatCode>
                <c:ptCount val="2"/>
                <c:pt idx="0">
                  <c:v>1</c:v>
                </c:pt>
                <c:pt idx="1">
                  <c:v>100</c:v>
                </c:pt>
              </c:numCache>
            </c:numRef>
          </c:xVal>
          <c:yVal>
            <c:numRef>
              <c:f>全体!$Q$46:$Q$47</c:f>
              <c:numCache>
                <c:formatCode>General</c:formatCode>
                <c:ptCount val="2"/>
                <c:pt idx="0">
                  <c:v>-20.88760945975833</c:v>
                </c:pt>
                <c:pt idx="1">
                  <c:v>-20.88760945975833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581-46D8-A321-65A22CA382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7114088"/>
        <c:axId val="381806296"/>
      </c:scatterChart>
      <c:scatterChart>
        <c:scatterStyle val="smoothMarker"/>
        <c:varyColors val="0"/>
        <c:ser>
          <c:idx val="1"/>
          <c:order val="1"/>
          <c:tx>
            <c:strRef>
              <c:f>全体!$H$4</c:f>
              <c:strCache>
                <c:ptCount val="1"/>
                <c:pt idx="0">
                  <c:v>Phase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全体!$B$5:$B$23</c:f>
              <c:numCache>
                <c:formatCode>General</c:formatCode>
                <c:ptCount val="19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7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30</c:v>
                </c:pt>
                <c:pt idx="10">
                  <c:v>50</c:v>
                </c:pt>
                <c:pt idx="11">
                  <c:v>70</c:v>
                </c:pt>
                <c:pt idx="12">
                  <c:v>100</c:v>
                </c:pt>
                <c:pt idx="13">
                  <c:v>150</c:v>
                </c:pt>
                <c:pt idx="14">
                  <c:v>200</c:v>
                </c:pt>
                <c:pt idx="15">
                  <c:v>300</c:v>
                </c:pt>
                <c:pt idx="16">
                  <c:v>500</c:v>
                </c:pt>
                <c:pt idx="17">
                  <c:v>700</c:v>
                </c:pt>
                <c:pt idx="18">
                  <c:v>1000</c:v>
                </c:pt>
              </c:numCache>
            </c:numRef>
          </c:xVal>
          <c:yVal>
            <c:numRef>
              <c:f>全体!$I$5:$I$23</c:f>
              <c:numCache>
                <c:formatCode>General</c:formatCode>
                <c:ptCount val="19"/>
                <c:pt idx="0">
                  <c:v>50.580210575101546</c:v>
                </c:pt>
                <c:pt idx="1">
                  <c:v>42.704279501437611</c:v>
                </c:pt>
                <c:pt idx="2">
                  <c:v>38.96127908478195</c:v>
                </c:pt>
                <c:pt idx="3">
                  <c:v>37.120885172905332</c:v>
                </c:pt>
                <c:pt idx="4">
                  <c:v>40.335021128309762</c:v>
                </c:pt>
                <c:pt idx="5">
                  <c:v>44.649006047294108</c:v>
                </c:pt>
                <c:pt idx="6">
                  <c:v>49.363096457214283</c:v>
                </c:pt>
                <c:pt idx="7">
                  <c:v>52.769690762411983</c:v>
                </c:pt>
                <c:pt idx="8">
                  <c:v>53.024508911914211</c:v>
                </c:pt>
                <c:pt idx="9">
                  <c:v>49.860572117663821</c:v>
                </c:pt>
                <c:pt idx="10">
                  <c:v>40.829114801018079</c:v>
                </c:pt>
                <c:pt idx="11">
                  <c:v>33.273727798191459</c:v>
                </c:pt>
                <c:pt idx="12">
                  <c:v>25.424690687328507</c:v>
                </c:pt>
                <c:pt idx="13">
                  <c:v>17.896469380090878</c:v>
                </c:pt>
                <c:pt idx="14">
                  <c:v>13.70211442881353</c:v>
                </c:pt>
                <c:pt idx="15">
                  <c:v>9.2758005229065361</c:v>
                </c:pt>
                <c:pt idx="16">
                  <c:v>5.610461541086238</c:v>
                </c:pt>
                <c:pt idx="17">
                  <c:v>4.0164716073387012</c:v>
                </c:pt>
                <c:pt idx="18">
                  <c:v>2.8148951483057658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581-46D8-A321-65A22CA38245}"/>
            </c:ext>
          </c:extLst>
        </c:ser>
        <c:ser>
          <c:idx val="3"/>
          <c:order val="2"/>
          <c:tx>
            <c:strRef>
              <c:f>全体!$P$39</c:f>
              <c:strCache>
                <c:ptCount val="1"/>
                <c:pt idx="0">
                  <c:v>Phase margin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noFill/>
              <a:ln w="25400">
                <a:solidFill>
                  <a:srgbClr val="00B050"/>
                </a:solidFill>
              </a:ln>
              <a:effectLst/>
            </c:spPr>
          </c:marker>
          <c:xVal>
            <c:numRef>
              <c:f>全体!$M$40</c:f>
              <c:numCache>
                <c:formatCode>General</c:formatCode>
                <c:ptCount val="1"/>
                <c:pt idx="0">
                  <c:v>19.888310787266363</c:v>
                </c:pt>
              </c:numCache>
            </c:numRef>
          </c:xVal>
          <c:yVal>
            <c:numRef>
              <c:f>全体!$O$40</c:f>
              <c:numCache>
                <c:formatCode>General</c:formatCode>
                <c:ptCount val="1"/>
                <c:pt idx="0">
                  <c:v>51.821645692241304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5581-46D8-A321-65A22CA38245}"/>
            </c:ext>
          </c:extLst>
        </c:ser>
        <c:ser>
          <c:idx val="2"/>
          <c:order val="4"/>
          <c:tx>
            <c:strRef>
              <c:f>全体!$N$39</c:f>
              <c:strCache>
                <c:ptCount val="1"/>
                <c:pt idx="0">
                  <c:v>破線</c:v>
                </c:pt>
              </c:strCache>
            </c:strRef>
          </c:tx>
          <c:spPr>
            <a:ln w="9525" cap="rnd">
              <a:solidFill>
                <a:srgbClr val="00B05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全体!$M$40:$M$41</c:f>
              <c:numCache>
                <c:formatCode>General</c:formatCode>
                <c:ptCount val="2"/>
                <c:pt idx="0">
                  <c:v>19.888310787266363</c:v>
                </c:pt>
                <c:pt idx="1">
                  <c:v>1000</c:v>
                </c:pt>
              </c:numCache>
            </c:numRef>
          </c:xVal>
          <c:yVal>
            <c:numRef>
              <c:f>全体!$N$40:$N$41</c:f>
              <c:numCache>
                <c:formatCode>General</c:formatCode>
                <c:ptCount val="2"/>
                <c:pt idx="0">
                  <c:v>51.821645692241304</c:v>
                </c:pt>
                <c:pt idx="1">
                  <c:v>51.821645692241304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5581-46D8-A321-65A22CA382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1810216"/>
        <c:axId val="381806688"/>
      </c:scatterChart>
      <c:valAx>
        <c:axId val="377114088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freq. [Hz]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381806296"/>
        <c:crossesAt val="-80"/>
        <c:crossBetween val="midCat"/>
      </c:valAx>
      <c:valAx>
        <c:axId val="381806296"/>
        <c:scaling>
          <c:orientation val="minMax"/>
          <c:max val="60"/>
          <c:min val="-8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Gain [dB]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377114088"/>
        <c:crosses val="autoZero"/>
        <c:crossBetween val="midCat"/>
      </c:valAx>
      <c:valAx>
        <c:axId val="381806688"/>
        <c:scaling>
          <c:orientation val="minMax"/>
          <c:max val="14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Phase [deg]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381810216"/>
        <c:crosses val="max"/>
        <c:crossBetween val="midCat"/>
      </c:valAx>
      <c:valAx>
        <c:axId val="381810216"/>
        <c:scaling>
          <c:logBase val="10"/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18066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63017369942005275"/>
          <c:y val="0.1432387851199248"/>
          <c:w val="0.21798724761787691"/>
          <c:h val="0.22684474507785599"/>
        </c:manualLayout>
      </c:layout>
      <c:overlay val="1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メイン回路!$G$17</c:f>
              <c:strCache>
                <c:ptCount val="1"/>
                <c:pt idx="0">
                  <c:v>Gain(dB)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メイン回路!$B$18:$B$36</c:f>
              <c:numCache>
                <c:formatCode>General</c:formatCode>
                <c:ptCount val="19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7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30</c:v>
                </c:pt>
                <c:pt idx="10">
                  <c:v>50</c:v>
                </c:pt>
                <c:pt idx="11">
                  <c:v>70</c:v>
                </c:pt>
                <c:pt idx="12">
                  <c:v>100</c:v>
                </c:pt>
                <c:pt idx="13">
                  <c:v>150</c:v>
                </c:pt>
                <c:pt idx="14">
                  <c:v>200</c:v>
                </c:pt>
                <c:pt idx="15">
                  <c:v>300</c:v>
                </c:pt>
                <c:pt idx="16">
                  <c:v>500</c:v>
                </c:pt>
                <c:pt idx="17">
                  <c:v>700</c:v>
                </c:pt>
                <c:pt idx="18">
                  <c:v>1000</c:v>
                </c:pt>
              </c:numCache>
            </c:numRef>
          </c:xVal>
          <c:yVal>
            <c:numRef>
              <c:f>メイン回路!$G$18:$G$36</c:f>
              <c:numCache>
                <c:formatCode>0.0</c:formatCode>
                <c:ptCount val="19"/>
                <c:pt idx="0">
                  <c:v>62.717168576352691</c:v>
                </c:pt>
                <c:pt idx="1">
                  <c:v>60.535979001608254</c:v>
                </c:pt>
                <c:pt idx="2">
                  <c:v>58.624949985161237</c:v>
                </c:pt>
                <c:pt idx="3">
                  <c:v>55.577685867719985</c:v>
                </c:pt>
                <c:pt idx="4">
                  <c:v>51.405360604924859</c:v>
                </c:pt>
                <c:pt idx="5">
                  <c:v>48.558639359599383</c:v>
                </c:pt>
                <c:pt idx="6">
                  <c:v>45.501435094143439</c:v>
                </c:pt>
                <c:pt idx="7">
                  <c:v>42.001564530501014</c:v>
                </c:pt>
                <c:pt idx="8">
                  <c:v>39.510500210173099</c:v>
                </c:pt>
                <c:pt idx="9">
                  <c:v>35.994190859153754</c:v>
                </c:pt>
                <c:pt idx="10">
                  <c:v>31.560042685782829</c:v>
                </c:pt>
                <c:pt idx="11">
                  <c:v>28.638261113092636</c:v>
                </c:pt>
                <c:pt idx="12">
                  <c:v>25.540635888828582</c:v>
                </c:pt>
                <c:pt idx="13">
                  <c:v>22.019031691157519</c:v>
                </c:pt>
                <c:pt idx="14">
                  <c:v>19.520334305852888</c:v>
                </c:pt>
                <c:pt idx="15">
                  <c:v>15.998564373340811</c:v>
                </c:pt>
                <c:pt idx="16">
                  <c:v>11.561617668569745</c:v>
                </c:pt>
                <c:pt idx="17">
                  <c:v>8.6390647485476837</c:v>
                </c:pt>
                <c:pt idx="18">
                  <c:v>5.5410296891580293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CA0-4E18-820F-22A6CAAE45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1812176"/>
        <c:axId val="381811392"/>
      </c:scatterChart>
      <c:valAx>
        <c:axId val="381812176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1811392"/>
        <c:crosses val="autoZero"/>
        <c:crossBetween val="midCat"/>
      </c:valAx>
      <c:valAx>
        <c:axId val="381811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1812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メイン回路!$H$17</c:f>
              <c:strCache>
                <c:ptCount val="1"/>
                <c:pt idx="0">
                  <c:v>Phase(°)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メイン回路!$B$18:$B$36</c:f>
              <c:numCache>
                <c:formatCode>General</c:formatCode>
                <c:ptCount val="19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7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30</c:v>
                </c:pt>
                <c:pt idx="10">
                  <c:v>50</c:v>
                </c:pt>
                <c:pt idx="11">
                  <c:v>70</c:v>
                </c:pt>
                <c:pt idx="12">
                  <c:v>100</c:v>
                </c:pt>
                <c:pt idx="13">
                  <c:v>150</c:v>
                </c:pt>
                <c:pt idx="14">
                  <c:v>200</c:v>
                </c:pt>
                <c:pt idx="15">
                  <c:v>300</c:v>
                </c:pt>
                <c:pt idx="16">
                  <c:v>500</c:v>
                </c:pt>
                <c:pt idx="17">
                  <c:v>700</c:v>
                </c:pt>
                <c:pt idx="18">
                  <c:v>1000</c:v>
                </c:pt>
              </c:numCache>
            </c:numRef>
          </c:xVal>
          <c:yVal>
            <c:numRef>
              <c:f>メイン回路!$H$18:$H$36</c:f>
              <c:numCache>
                <c:formatCode>General</c:formatCode>
                <c:ptCount val="19"/>
                <c:pt idx="0">
                  <c:v>-46.256984461667884</c:v>
                </c:pt>
                <c:pt idx="1">
                  <c:v>-57.460545694999787</c:v>
                </c:pt>
                <c:pt idx="2">
                  <c:v>-64.42752959057475</c:v>
                </c:pt>
                <c:pt idx="3">
                  <c:v>-72.306309023128946</c:v>
                </c:pt>
                <c:pt idx="4">
                  <c:v>-79.163990708138627</c:v>
                </c:pt>
                <c:pt idx="5">
                  <c:v>-82.214643670075063</c:v>
                </c:pt>
                <c:pt idx="6">
                  <c:v>-84.533111625623533</c:v>
                </c:pt>
                <c:pt idx="7">
                  <c:v>-86.349255741938535</c:v>
                </c:pt>
                <c:pt idx="8">
                  <c:v>-87.26032026876112</c:v>
                </c:pt>
                <c:pt idx="9">
                  <c:v>-88.172773272550316</c:v>
                </c:pt>
                <c:pt idx="10">
                  <c:v>-88.903426047725986</c:v>
                </c:pt>
                <c:pt idx="11">
                  <c:v>-89.216686047735109</c:v>
                </c:pt>
                <c:pt idx="12">
                  <c:v>-89.451662810617151</c:v>
                </c:pt>
                <c:pt idx="13">
                  <c:v>-89.634435673367364</c:v>
                </c:pt>
                <c:pt idx="14">
                  <c:v>-89.725825127359371</c:v>
                </c:pt>
                <c:pt idx="15">
                  <c:v>-89.817215976479588</c:v>
                </c:pt>
                <c:pt idx="16">
                  <c:v>-89.890329347776344</c:v>
                </c:pt>
                <c:pt idx="17">
                  <c:v>-89.921663772981347</c:v>
                </c:pt>
                <c:pt idx="18">
                  <c:v>-89.94516462366127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02D-43F2-85A5-E45A76FE8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1805120"/>
        <c:axId val="381805512"/>
      </c:scatterChart>
      <c:valAx>
        <c:axId val="381805120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1805512"/>
        <c:crossesAt val="-90"/>
        <c:crossBetween val="midCat"/>
      </c:valAx>
      <c:valAx>
        <c:axId val="381805512"/>
        <c:scaling>
          <c:orientation val="minMax"/>
          <c:min val="-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18051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amp!$K$18</c:f>
              <c:strCache>
                <c:ptCount val="1"/>
                <c:pt idx="0">
                  <c:v>Gain(dB)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amp!$B$19:$B$37</c:f>
              <c:numCache>
                <c:formatCode>General</c:formatCode>
                <c:ptCount val="19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7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30</c:v>
                </c:pt>
                <c:pt idx="10">
                  <c:v>50</c:v>
                </c:pt>
                <c:pt idx="11">
                  <c:v>70</c:v>
                </c:pt>
                <c:pt idx="12">
                  <c:v>100</c:v>
                </c:pt>
                <c:pt idx="13">
                  <c:v>150</c:v>
                </c:pt>
                <c:pt idx="14">
                  <c:v>200</c:v>
                </c:pt>
                <c:pt idx="15">
                  <c:v>300</c:v>
                </c:pt>
                <c:pt idx="16">
                  <c:v>500</c:v>
                </c:pt>
                <c:pt idx="17">
                  <c:v>700</c:v>
                </c:pt>
                <c:pt idx="18">
                  <c:v>1000</c:v>
                </c:pt>
              </c:numCache>
            </c:numRef>
          </c:xVal>
          <c:yVal>
            <c:numRef>
              <c:f>amp!$K$19:$K$37</c:f>
              <c:numCache>
                <c:formatCode>0.0</c:formatCode>
                <c:ptCount val="19"/>
                <c:pt idx="0">
                  <c:v>-22.89745777400249</c:v>
                </c:pt>
                <c:pt idx="1">
                  <c:v>-26.320437234376346</c:v>
                </c:pt>
                <c:pt idx="2">
                  <c:v>-28.684631082763637</c:v>
                </c:pt>
                <c:pt idx="3">
                  <c:v>-31.844201745620374</c:v>
                </c:pt>
                <c:pt idx="4">
                  <c:v>-35.296969115006732</c:v>
                </c:pt>
                <c:pt idx="5">
                  <c:v>-37.079181192115186</c:v>
                </c:pt>
                <c:pt idx="6">
                  <c:v>-38.477124048703601</c:v>
                </c:pt>
                <c:pt idx="7">
                  <c:v>-39.564545858347579</c:v>
                </c:pt>
                <c:pt idx="8">
                  <c:v>-40.163099664660905</c:v>
                </c:pt>
                <c:pt idx="9">
                  <c:v>-41.035272838359262</c:v>
                </c:pt>
                <c:pt idx="10">
                  <c:v>-42.65948509735945</c:v>
                </c:pt>
                <c:pt idx="11">
                  <c:v>-44.257910414937641</c:v>
                </c:pt>
                <c:pt idx="12">
                  <c:v>-46.428245348586913</c:v>
                </c:pt>
                <c:pt idx="13">
                  <c:v>-49.35437712532454</c:v>
                </c:pt>
                <c:pt idx="14">
                  <c:v>-51.622805456731328</c:v>
                </c:pt>
                <c:pt idx="15">
                  <c:v>-54.971974363503655</c:v>
                </c:pt>
                <c:pt idx="16">
                  <c:v>-59.317717970490179</c:v>
                </c:pt>
                <c:pt idx="17">
                  <c:v>-62.214790941968502</c:v>
                </c:pt>
                <c:pt idx="18">
                  <c:v>-65.299226552848367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6FE-4DC5-817B-8D791C2ADF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1808256"/>
        <c:axId val="381804728"/>
      </c:scatterChart>
      <c:valAx>
        <c:axId val="381808256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1804728"/>
        <c:crosses val="autoZero"/>
        <c:crossBetween val="midCat"/>
      </c:valAx>
      <c:valAx>
        <c:axId val="381804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18082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amp!$L$18</c:f>
              <c:strCache>
                <c:ptCount val="1"/>
                <c:pt idx="0">
                  <c:v>Phase(°)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amp!$B$19:$B$37</c:f>
              <c:numCache>
                <c:formatCode>General</c:formatCode>
                <c:ptCount val="19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7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30</c:v>
                </c:pt>
                <c:pt idx="10">
                  <c:v>50</c:v>
                </c:pt>
                <c:pt idx="11">
                  <c:v>70</c:v>
                </c:pt>
                <c:pt idx="12">
                  <c:v>100</c:v>
                </c:pt>
                <c:pt idx="13">
                  <c:v>150</c:v>
                </c:pt>
                <c:pt idx="14">
                  <c:v>200</c:v>
                </c:pt>
                <c:pt idx="15">
                  <c:v>300</c:v>
                </c:pt>
                <c:pt idx="16">
                  <c:v>500</c:v>
                </c:pt>
                <c:pt idx="17">
                  <c:v>700</c:v>
                </c:pt>
                <c:pt idx="18">
                  <c:v>1000</c:v>
                </c:pt>
              </c:numCache>
            </c:numRef>
          </c:xVal>
          <c:yVal>
            <c:numRef>
              <c:f>amp!$L$19:$L$37</c:f>
              <c:numCache>
                <c:formatCode>General</c:formatCode>
                <c:ptCount val="19"/>
                <c:pt idx="0">
                  <c:v>-83.16280496323057</c:v>
                </c:pt>
                <c:pt idx="1">
                  <c:v>-79.835174803562609</c:v>
                </c:pt>
                <c:pt idx="2">
                  <c:v>-76.611191324643315</c:v>
                </c:pt>
                <c:pt idx="3">
                  <c:v>-70.572805803965736</c:v>
                </c:pt>
                <c:pt idx="4">
                  <c:v>-60.500988163551604</c:v>
                </c:pt>
                <c:pt idx="5">
                  <c:v>-53.136350282630829</c:v>
                </c:pt>
                <c:pt idx="6">
                  <c:v>-46.103791917162184</c:v>
                </c:pt>
                <c:pt idx="7">
                  <c:v>-40.881053495649475</c:v>
                </c:pt>
                <c:pt idx="8">
                  <c:v>-39.715170819324676</c:v>
                </c:pt>
                <c:pt idx="9">
                  <c:v>-41.966654609785877</c:v>
                </c:pt>
                <c:pt idx="10">
                  <c:v>-50.26745915125592</c:v>
                </c:pt>
                <c:pt idx="11">
                  <c:v>-57.509586154073439</c:v>
                </c:pt>
                <c:pt idx="12">
                  <c:v>-65.123646502054328</c:v>
                </c:pt>
                <c:pt idx="13">
                  <c:v>-72.469094946541773</c:v>
                </c:pt>
                <c:pt idx="14">
                  <c:v>-76.572060443827098</c:v>
                </c:pt>
                <c:pt idx="15">
                  <c:v>-80.906983500613862</c:v>
                </c:pt>
                <c:pt idx="16">
                  <c:v>-84.499209111137432</c:v>
                </c:pt>
                <c:pt idx="17">
                  <c:v>-86.061864619679938</c:v>
                </c:pt>
                <c:pt idx="18">
                  <c:v>-87.23994022803295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7A1-43FC-95A8-A86AD1E7E2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1809040"/>
        <c:axId val="381809432"/>
      </c:scatterChart>
      <c:valAx>
        <c:axId val="381809040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1809432"/>
        <c:crossesAt val="-90"/>
        <c:crossBetween val="midCat"/>
      </c:valAx>
      <c:valAx>
        <c:axId val="381809432"/>
        <c:scaling>
          <c:orientation val="minMax"/>
          <c:min val="-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18090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全体!$G$4</c:f>
              <c:strCache>
                <c:ptCount val="1"/>
                <c:pt idx="0">
                  <c:v>Gain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全体!$B$5:$B$23</c:f>
              <c:numCache>
                <c:formatCode>General</c:formatCode>
                <c:ptCount val="19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7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30</c:v>
                </c:pt>
                <c:pt idx="10">
                  <c:v>50</c:v>
                </c:pt>
                <c:pt idx="11">
                  <c:v>70</c:v>
                </c:pt>
                <c:pt idx="12">
                  <c:v>100</c:v>
                </c:pt>
                <c:pt idx="13">
                  <c:v>150</c:v>
                </c:pt>
                <c:pt idx="14">
                  <c:v>200</c:v>
                </c:pt>
                <c:pt idx="15">
                  <c:v>300</c:v>
                </c:pt>
                <c:pt idx="16">
                  <c:v>500</c:v>
                </c:pt>
                <c:pt idx="17">
                  <c:v>700</c:v>
                </c:pt>
                <c:pt idx="18">
                  <c:v>1000</c:v>
                </c:pt>
              </c:numCache>
            </c:numRef>
          </c:xVal>
          <c:yVal>
            <c:numRef>
              <c:f>全体!$G$5:$G$23</c:f>
              <c:numCache>
                <c:formatCode>General</c:formatCode>
                <c:ptCount val="19"/>
                <c:pt idx="0">
                  <c:v>39.819710802350201</c:v>
                </c:pt>
                <c:pt idx="1">
                  <c:v>34.215541767231912</c:v>
                </c:pt>
                <c:pt idx="2">
                  <c:v>29.9403189023976</c:v>
                </c:pt>
                <c:pt idx="3">
                  <c:v>23.733484122099611</c:v>
                </c:pt>
                <c:pt idx="4">
                  <c:v>16.108391489918127</c:v>
                </c:pt>
                <c:pt idx="5">
                  <c:v>11.479458167484196</c:v>
                </c:pt>
                <c:pt idx="6">
                  <c:v>7.0243110454398376</c:v>
                </c:pt>
                <c:pt idx="7">
                  <c:v>2.4370186721534353</c:v>
                </c:pt>
                <c:pt idx="8">
                  <c:v>-0.65259945448780599</c:v>
                </c:pt>
                <c:pt idx="9">
                  <c:v>-5.0410819792055079</c:v>
                </c:pt>
                <c:pt idx="10">
                  <c:v>-11.099442411576621</c:v>
                </c:pt>
                <c:pt idx="11">
                  <c:v>-15.619649301845005</c:v>
                </c:pt>
                <c:pt idx="12">
                  <c:v>-20.88760945975833</c:v>
                </c:pt>
                <c:pt idx="13">
                  <c:v>-27.335345434167021</c:v>
                </c:pt>
                <c:pt idx="14">
                  <c:v>-32.102471150878443</c:v>
                </c:pt>
                <c:pt idx="15">
                  <c:v>-38.973409990162843</c:v>
                </c:pt>
                <c:pt idx="16">
                  <c:v>-47.756100301920434</c:v>
                </c:pt>
                <c:pt idx="17">
                  <c:v>-53.57572619342082</c:v>
                </c:pt>
                <c:pt idx="18">
                  <c:v>-59.758196863690337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0A8-4B1A-B6B3-CAF0A45AB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2213936"/>
        <c:axId val="382212368"/>
      </c:scatterChart>
      <c:scatterChart>
        <c:scatterStyle val="smoothMarker"/>
        <c:varyColors val="0"/>
        <c:ser>
          <c:idx val="1"/>
          <c:order val="1"/>
          <c:tx>
            <c:strRef>
              <c:f>全体!$H$4</c:f>
              <c:strCache>
                <c:ptCount val="1"/>
                <c:pt idx="0">
                  <c:v>Phase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全体!$B$5:$B$23</c:f>
              <c:numCache>
                <c:formatCode>General</c:formatCode>
                <c:ptCount val="19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7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30</c:v>
                </c:pt>
                <c:pt idx="10">
                  <c:v>50</c:v>
                </c:pt>
                <c:pt idx="11">
                  <c:v>70</c:v>
                </c:pt>
                <c:pt idx="12">
                  <c:v>100</c:v>
                </c:pt>
                <c:pt idx="13">
                  <c:v>150</c:v>
                </c:pt>
                <c:pt idx="14">
                  <c:v>200</c:v>
                </c:pt>
                <c:pt idx="15">
                  <c:v>300</c:v>
                </c:pt>
                <c:pt idx="16">
                  <c:v>500</c:v>
                </c:pt>
                <c:pt idx="17">
                  <c:v>700</c:v>
                </c:pt>
                <c:pt idx="18">
                  <c:v>1000</c:v>
                </c:pt>
              </c:numCache>
            </c:numRef>
          </c:xVal>
          <c:yVal>
            <c:numRef>
              <c:f>全体!$I$5:$I$23</c:f>
              <c:numCache>
                <c:formatCode>General</c:formatCode>
                <c:ptCount val="19"/>
                <c:pt idx="0">
                  <c:v>50.580210575101546</c:v>
                </c:pt>
                <c:pt idx="1">
                  <c:v>42.704279501437611</c:v>
                </c:pt>
                <c:pt idx="2">
                  <c:v>38.96127908478195</c:v>
                </c:pt>
                <c:pt idx="3">
                  <c:v>37.120885172905332</c:v>
                </c:pt>
                <c:pt idx="4">
                  <c:v>40.335021128309762</c:v>
                </c:pt>
                <c:pt idx="5">
                  <c:v>44.649006047294108</c:v>
                </c:pt>
                <c:pt idx="6">
                  <c:v>49.363096457214283</c:v>
                </c:pt>
                <c:pt idx="7">
                  <c:v>52.769690762411983</c:v>
                </c:pt>
                <c:pt idx="8">
                  <c:v>53.024508911914211</c:v>
                </c:pt>
                <c:pt idx="9">
                  <c:v>49.860572117663821</c:v>
                </c:pt>
                <c:pt idx="10">
                  <c:v>40.829114801018079</c:v>
                </c:pt>
                <c:pt idx="11">
                  <c:v>33.273727798191459</c:v>
                </c:pt>
                <c:pt idx="12">
                  <c:v>25.424690687328507</c:v>
                </c:pt>
                <c:pt idx="13">
                  <c:v>17.896469380090878</c:v>
                </c:pt>
                <c:pt idx="14">
                  <c:v>13.70211442881353</c:v>
                </c:pt>
                <c:pt idx="15">
                  <c:v>9.2758005229065361</c:v>
                </c:pt>
                <c:pt idx="16">
                  <c:v>5.610461541086238</c:v>
                </c:pt>
                <c:pt idx="17">
                  <c:v>4.0164716073387012</c:v>
                </c:pt>
                <c:pt idx="18">
                  <c:v>2.8148951483057658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0A8-4B1A-B6B3-CAF0A45AB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2211976"/>
        <c:axId val="382214328"/>
      </c:scatterChart>
      <c:valAx>
        <c:axId val="382213936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2212368"/>
        <c:crossesAt val="-80"/>
        <c:crossBetween val="midCat"/>
      </c:valAx>
      <c:valAx>
        <c:axId val="38221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2213936"/>
        <c:crosses val="autoZero"/>
        <c:crossBetween val="midCat"/>
      </c:valAx>
      <c:valAx>
        <c:axId val="38221432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2211976"/>
        <c:crosses val="max"/>
        <c:crossBetween val="midCat"/>
      </c:valAx>
      <c:valAx>
        <c:axId val="382211976"/>
        <c:scaling>
          <c:logBase val="10"/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22143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全体!$G$4</c:f>
              <c:strCache>
                <c:ptCount val="1"/>
                <c:pt idx="0">
                  <c:v>Gain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全体!$B$5:$B$23</c:f>
              <c:numCache>
                <c:formatCode>General</c:formatCode>
                <c:ptCount val="19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7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30</c:v>
                </c:pt>
                <c:pt idx="10">
                  <c:v>50</c:v>
                </c:pt>
                <c:pt idx="11">
                  <c:v>70</c:v>
                </c:pt>
                <c:pt idx="12">
                  <c:v>100</c:v>
                </c:pt>
                <c:pt idx="13">
                  <c:v>150</c:v>
                </c:pt>
                <c:pt idx="14">
                  <c:v>200</c:v>
                </c:pt>
                <c:pt idx="15">
                  <c:v>300</c:v>
                </c:pt>
                <c:pt idx="16">
                  <c:v>500</c:v>
                </c:pt>
                <c:pt idx="17">
                  <c:v>700</c:v>
                </c:pt>
                <c:pt idx="18">
                  <c:v>1000</c:v>
                </c:pt>
              </c:numCache>
            </c:numRef>
          </c:xVal>
          <c:yVal>
            <c:numRef>
              <c:f>全体!$G$5:$G$23</c:f>
              <c:numCache>
                <c:formatCode>General</c:formatCode>
                <c:ptCount val="19"/>
                <c:pt idx="0">
                  <c:v>39.819710802350201</c:v>
                </c:pt>
                <c:pt idx="1">
                  <c:v>34.215541767231912</c:v>
                </c:pt>
                <c:pt idx="2">
                  <c:v>29.9403189023976</c:v>
                </c:pt>
                <c:pt idx="3">
                  <c:v>23.733484122099611</c:v>
                </c:pt>
                <c:pt idx="4">
                  <c:v>16.108391489918127</c:v>
                </c:pt>
                <c:pt idx="5">
                  <c:v>11.479458167484196</c:v>
                </c:pt>
                <c:pt idx="6">
                  <c:v>7.0243110454398376</c:v>
                </c:pt>
                <c:pt idx="7">
                  <c:v>2.4370186721534353</c:v>
                </c:pt>
                <c:pt idx="8">
                  <c:v>-0.65259945448780599</c:v>
                </c:pt>
                <c:pt idx="9">
                  <c:v>-5.0410819792055079</c:v>
                </c:pt>
                <c:pt idx="10">
                  <c:v>-11.099442411576621</c:v>
                </c:pt>
                <c:pt idx="11">
                  <c:v>-15.619649301845005</c:v>
                </c:pt>
                <c:pt idx="12">
                  <c:v>-20.88760945975833</c:v>
                </c:pt>
                <c:pt idx="13">
                  <c:v>-27.335345434167021</c:v>
                </c:pt>
                <c:pt idx="14">
                  <c:v>-32.102471150878443</c:v>
                </c:pt>
                <c:pt idx="15">
                  <c:v>-38.973409990162843</c:v>
                </c:pt>
                <c:pt idx="16">
                  <c:v>-47.756100301920434</c:v>
                </c:pt>
                <c:pt idx="17">
                  <c:v>-53.57572619342082</c:v>
                </c:pt>
                <c:pt idx="18">
                  <c:v>-59.758196863690337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49B-418E-81BB-BC44CE3D6F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2208840"/>
        <c:axId val="382210016"/>
      </c:scatterChart>
      <c:scatterChart>
        <c:scatterStyle val="smoothMarker"/>
        <c:varyColors val="0"/>
        <c:ser>
          <c:idx val="1"/>
          <c:order val="1"/>
          <c:tx>
            <c:strRef>
              <c:f>全体!$H$4</c:f>
              <c:strCache>
                <c:ptCount val="1"/>
                <c:pt idx="0">
                  <c:v>Phase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全体!$B$5:$B$23</c:f>
              <c:numCache>
                <c:formatCode>General</c:formatCode>
                <c:ptCount val="19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7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30</c:v>
                </c:pt>
                <c:pt idx="10">
                  <c:v>50</c:v>
                </c:pt>
                <c:pt idx="11">
                  <c:v>70</c:v>
                </c:pt>
                <c:pt idx="12">
                  <c:v>100</c:v>
                </c:pt>
                <c:pt idx="13">
                  <c:v>150</c:v>
                </c:pt>
                <c:pt idx="14">
                  <c:v>200</c:v>
                </c:pt>
                <c:pt idx="15">
                  <c:v>300</c:v>
                </c:pt>
                <c:pt idx="16">
                  <c:v>500</c:v>
                </c:pt>
                <c:pt idx="17">
                  <c:v>700</c:v>
                </c:pt>
                <c:pt idx="18">
                  <c:v>1000</c:v>
                </c:pt>
              </c:numCache>
            </c:numRef>
          </c:xVal>
          <c:yVal>
            <c:numRef>
              <c:f>全体!$I$5:$I$23</c:f>
              <c:numCache>
                <c:formatCode>General</c:formatCode>
                <c:ptCount val="19"/>
                <c:pt idx="0">
                  <c:v>50.580210575101546</c:v>
                </c:pt>
                <c:pt idx="1">
                  <c:v>42.704279501437611</c:v>
                </c:pt>
                <c:pt idx="2">
                  <c:v>38.96127908478195</c:v>
                </c:pt>
                <c:pt idx="3">
                  <c:v>37.120885172905332</c:v>
                </c:pt>
                <c:pt idx="4">
                  <c:v>40.335021128309762</c:v>
                </c:pt>
                <c:pt idx="5">
                  <c:v>44.649006047294108</c:v>
                </c:pt>
                <c:pt idx="6">
                  <c:v>49.363096457214283</c:v>
                </c:pt>
                <c:pt idx="7">
                  <c:v>52.769690762411983</c:v>
                </c:pt>
                <c:pt idx="8">
                  <c:v>53.024508911914211</c:v>
                </c:pt>
                <c:pt idx="9">
                  <c:v>49.860572117663821</c:v>
                </c:pt>
                <c:pt idx="10">
                  <c:v>40.829114801018079</c:v>
                </c:pt>
                <c:pt idx="11">
                  <c:v>33.273727798191459</c:v>
                </c:pt>
                <c:pt idx="12">
                  <c:v>25.424690687328507</c:v>
                </c:pt>
                <c:pt idx="13">
                  <c:v>17.896469380090878</c:v>
                </c:pt>
                <c:pt idx="14">
                  <c:v>13.70211442881353</c:v>
                </c:pt>
                <c:pt idx="15">
                  <c:v>9.2758005229065361</c:v>
                </c:pt>
                <c:pt idx="16">
                  <c:v>5.610461541086238</c:v>
                </c:pt>
                <c:pt idx="17">
                  <c:v>4.0164716073387012</c:v>
                </c:pt>
                <c:pt idx="18">
                  <c:v>2.8148951483057658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49B-418E-81BB-BC44CE3D6F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2212760"/>
        <c:axId val="382215896"/>
      </c:scatterChart>
      <c:valAx>
        <c:axId val="382208840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2210016"/>
        <c:crossesAt val="-80"/>
        <c:crossBetween val="midCat"/>
      </c:valAx>
      <c:valAx>
        <c:axId val="382210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2208840"/>
        <c:crosses val="autoZero"/>
        <c:crossBetween val="midCat"/>
      </c:valAx>
      <c:valAx>
        <c:axId val="38221589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2212760"/>
        <c:crosses val="max"/>
        <c:crossBetween val="midCat"/>
      </c:valAx>
      <c:valAx>
        <c:axId val="382212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22158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577772</xdr:colOff>
      <xdr:row>35</xdr:row>
      <xdr:rowOff>0</xdr:rowOff>
    </xdr:from>
    <xdr:to>
      <xdr:col>18</xdr:col>
      <xdr:colOff>501315</xdr:colOff>
      <xdr:row>66</xdr:row>
      <xdr:rowOff>60158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240630</xdr:colOff>
      <xdr:row>50</xdr:row>
      <xdr:rowOff>10026</xdr:rowOff>
    </xdr:from>
    <xdr:to>
      <xdr:col>9</xdr:col>
      <xdr:colOff>160420</xdr:colOff>
      <xdr:row>58</xdr:row>
      <xdr:rowOff>166789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0393" y="3078079"/>
          <a:ext cx="1283369" cy="16005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431130</xdr:colOff>
      <xdr:row>2</xdr:row>
      <xdr:rowOff>100262</xdr:rowOff>
    </xdr:from>
    <xdr:to>
      <xdr:col>18</xdr:col>
      <xdr:colOff>311316</xdr:colOff>
      <xdr:row>33</xdr:row>
      <xdr:rowOff>53139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0525" y="471236"/>
          <a:ext cx="2607344" cy="32014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30081</xdr:colOff>
      <xdr:row>68</xdr:row>
      <xdr:rowOff>30079</xdr:rowOff>
    </xdr:from>
    <xdr:to>
      <xdr:col>16</xdr:col>
      <xdr:colOff>23844</xdr:colOff>
      <xdr:row>75</xdr:row>
      <xdr:rowOff>20053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35844" y="7439526"/>
          <a:ext cx="2740974" cy="12532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37</xdr:row>
      <xdr:rowOff>19050</xdr:rowOff>
    </xdr:from>
    <xdr:to>
      <xdr:col>5</xdr:col>
      <xdr:colOff>514350</xdr:colOff>
      <xdr:row>53</xdr:row>
      <xdr:rowOff>19050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609600</xdr:colOff>
      <xdr:row>37</xdr:row>
      <xdr:rowOff>28575</xdr:rowOff>
    </xdr:from>
    <xdr:to>
      <xdr:col>9</xdr:col>
      <xdr:colOff>200025</xdr:colOff>
      <xdr:row>53</xdr:row>
      <xdr:rowOff>28575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37</xdr:row>
      <xdr:rowOff>28574</xdr:rowOff>
    </xdr:from>
    <xdr:to>
      <xdr:col>5</xdr:col>
      <xdr:colOff>790575</xdr:colOff>
      <xdr:row>57</xdr:row>
      <xdr:rowOff>57149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876300</xdr:colOff>
      <xdr:row>37</xdr:row>
      <xdr:rowOff>76200</xdr:rowOff>
    </xdr:from>
    <xdr:to>
      <xdr:col>8</xdr:col>
      <xdr:colOff>219075</xdr:colOff>
      <xdr:row>53</xdr:row>
      <xdr:rowOff>76200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</xdr:colOff>
      <xdr:row>2</xdr:row>
      <xdr:rowOff>0</xdr:rowOff>
    </xdr:from>
    <xdr:to>
      <xdr:col>18</xdr:col>
      <xdr:colOff>476250</xdr:colOff>
      <xdr:row>18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20</xdr:row>
      <xdr:rowOff>0</xdr:rowOff>
    </xdr:from>
    <xdr:to>
      <xdr:col>18</xdr:col>
      <xdr:colOff>457200</xdr:colOff>
      <xdr:row>36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O67"/>
  <sheetViews>
    <sheetView tabSelected="1" topLeftCell="A34" zoomScale="95" zoomScaleNormal="95" workbookViewId="0">
      <selection activeCell="U11" sqref="U11"/>
    </sheetView>
  </sheetViews>
  <sheetFormatPr defaultRowHeight="14.25" x14ac:dyDescent="0.15"/>
  <cols>
    <col min="1" max="1" width="3.5" style="9" customWidth="1"/>
    <col min="2" max="2" width="4.625" style="9" customWidth="1"/>
    <col min="3" max="3" width="22.875" style="9" customWidth="1"/>
    <col min="4" max="4" width="8.875" style="9" customWidth="1"/>
    <col min="5" max="5" width="9" style="9"/>
    <col min="6" max="6" width="11.625" style="9" hidden="1" customWidth="1"/>
    <col min="7" max="7" width="9" style="9" hidden="1" customWidth="1"/>
    <col min="8" max="9" width="9" style="9"/>
    <col min="10" max="10" width="7.625" style="9" customWidth="1"/>
    <col min="11" max="11" width="4.5" style="9" customWidth="1"/>
    <col min="12" max="12" width="2.375" style="9" customWidth="1"/>
    <col min="13" max="13" width="6.875" style="9" customWidth="1"/>
    <col min="14" max="16384" width="9" style="9"/>
  </cols>
  <sheetData>
    <row r="1" spans="2:15" x14ac:dyDescent="0.15">
      <c r="N1" s="10" t="s">
        <v>122</v>
      </c>
    </row>
    <row r="2" spans="2:15" ht="15" x14ac:dyDescent="0.15">
      <c r="C2" s="11" t="s">
        <v>123</v>
      </c>
    </row>
    <row r="4" spans="2:15" x14ac:dyDescent="0.15">
      <c r="C4" s="7" t="s">
        <v>108</v>
      </c>
      <c r="D4" s="6"/>
    </row>
    <row r="5" spans="2:15" x14ac:dyDescent="0.15">
      <c r="C5" s="8" t="s">
        <v>107</v>
      </c>
    </row>
    <row r="6" spans="2:15" x14ac:dyDescent="0.15">
      <c r="C6" s="12" t="s">
        <v>109</v>
      </c>
    </row>
    <row r="7" spans="2:15" x14ac:dyDescent="0.15">
      <c r="C7" s="13"/>
    </row>
    <row r="8" spans="2:15" x14ac:dyDescent="0.15">
      <c r="C8" s="13"/>
      <c r="D8" s="19"/>
      <c r="E8" s="9" t="s">
        <v>116</v>
      </c>
    </row>
    <row r="9" spans="2:15" x14ac:dyDescent="0.15">
      <c r="B9" s="9" t="s">
        <v>64</v>
      </c>
      <c r="C9" s="14"/>
      <c r="N9" s="5"/>
      <c r="O9" s="6"/>
    </row>
    <row r="10" spans="2:15" x14ac:dyDescent="0.15">
      <c r="C10" s="9" t="s">
        <v>0</v>
      </c>
      <c r="D10" s="18">
        <v>264</v>
      </c>
      <c r="E10" s="9" t="s">
        <v>1</v>
      </c>
      <c r="F10" s="9">
        <f>D10</f>
        <v>264</v>
      </c>
      <c r="H10" s="9" t="s">
        <v>114</v>
      </c>
      <c r="N10" s="6"/>
      <c r="O10" s="6"/>
    </row>
    <row r="11" spans="2:15" x14ac:dyDescent="0.15">
      <c r="C11" s="9" t="s">
        <v>31</v>
      </c>
      <c r="D11" s="18">
        <v>50</v>
      </c>
      <c r="E11" s="9" t="s">
        <v>32</v>
      </c>
      <c r="F11" s="9">
        <f>D11*2</f>
        <v>100</v>
      </c>
      <c r="G11" s="9" t="s">
        <v>38</v>
      </c>
      <c r="H11" s="9" t="s">
        <v>115</v>
      </c>
    </row>
    <row r="12" spans="2:15" x14ac:dyDescent="0.15">
      <c r="C12" s="9" t="s">
        <v>102</v>
      </c>
      <c r="D12" s="18">
        <v>140</v>
      </c>
      <c r="E12" s="9" t="s">
        <v>2</v>
      </c>
      <c r="F12" s="9">
        <f>D12*0.000001</f>
        <v>1.3999999999999999E-4</v>
      </c>
    </row>
    <row r="13" spans="2:15" hidden="1" x14ac:dyDescent="0.15"/>
    <row r="14" spans="2:15" hidden="1" x14ac:dyDescent="0.15"/>
    <row r="15" spans="2:15" hidden="1" x14ac:dyDescent="0.15">
      <c r="C15" s="9" t="s">
        <v>85</v>
      </c>
      <c r="D15" s="9">
        <f>F10*2^0.5*F29/F12</f>
        <v>58.669659787592408</v>
      </c>
      <c r="E15" s="9" t="s">
        <v>4</v>
      </c>
    </row>
    <row r="16" spans="2:15" hidden="1" x14ac:dyDescent="0.15">
      <c r="C16" s="9" t="s">
        <v>86</v>
      </c>
      <c r="D16" s="9">
        <f>D15/2</f>
        <v>29.334829893796204</v>
      </c>
      <c r="E16" s="9" t="s">
        <v>4</v>
      </c>
    </row>
    <row r="17" spans="3:8" hidden="1" x14ac:dyDescent="0.15">
      <c r="C17" s="9" t="s">
        <v>87</v>
      </c>
      <c r="D17" s="9">
        <f>D16/2^0.5</f>
        <v>20.742857142857144</v>
      </c>
      <c r="E17" s="9" t="s">
        <v>5</v>
      </c>
    </row>
    <row r="18" spans="3:8" hidden="1" x14ac:dyDescent="0.15"/>
    <row r="19" spans="3:8" hidden="1" x14ac:dyDescent="0.15">
      <c r="C19" s="9" t="s">
        <v>88</v>
      </c>
      <c r="D19" s="9">
        <f>F10*D17</f>
        <v>5476.1142857142859</v>
      </c>
      <c r="E19" s="9" t="s">
        <v>6</v>
      </c>
    </row>
    <row r="20" spans="3:8" hidden="1" x14ac:dyDescent="0.15"/>
    <row r="21" spans="3:8" hidden="1" x14ac:dyDescent="0.15">
      <c r="C21" s="9" t="s">
        <v>89</v>
      </c>
      <c r="D21" s="9">
        <f>D19/3.6</f>
        <v>1521.1428571428571</v>
      </c>
      <c r="G21" s="10" t="s">
        <v>90</v>
      </c>
    </row>
    <row r="22" spans="3:8" hidden="1" x14ac:dyDescent="0.15"/>
    <row r="23" spans="3:8" hidden="1" x14ac:dyDescent="0.15"/>
    <row r="24" spans="3:8" x14ac:dyDescent="0.15">
      <c r="C24" s="9" t="s">
        <v>65</v>
      </c>
      <c r="D24" s="18">
        <v>390</v>
      </c>
      <c r="E24" s="9" t="s">
        <v>8</v>
      </c>
    </row>
    <row r="25" spans="3:8" x14ac:dyDescent="0.15">
      <c r="C25" s="9" t="s">
        <v>117</v>
      </c>
      <c r="D25" s="18">
        <v>150</v>
      </c>
      <c r="E25" s="9" t="s">
        <v>6</v>
      </c>
    </row>
    <row r="26" spans="3:8" hidden="1" x14ac:dyDescent="0.15">
      <c r="C26" s="9" t="s">
        <v>9</v>
      </c>
      <c r="D26" s="15">
        <f>D24^2/D25</f>
        <v>1014</v>
      </c>
      <c r="E26" s="9" t="s">
        <v>10</v>
      </c>
    </row>
    <row r="27" spans="3:8" x14ac:dyDescent="0.15">
      <c r="C27" s="9" t="s">
        <v>118</v>
      </c>
      <c r="D27" s="18">
        <v>164</v>
      </c>
      <c r="E27" s="9" t="s">
        <v>11</v>
      </c>
      <c r="F27" s="9">
        <f>D27*0.000001</f>
        <v>1.64E-4</v>
      </c>
      <c r="G27" s="9" t="s">
        <v>12</v>
      </c>
    </row>
    <row r="28" spans="3:8" x14ac:dyDescent="0.15">
      <c r="C28" s="9" t="s">
        <v>69</v>
      </c>
      <c r="D28" s="18">
        <v>80</v>
      </c>
      <c r="E28" s="9" t="s">
        <v>92</v>
      </c>
      <c r="F28" s="9">
        <f>D28*0.000001</f>
        <v>7.9999999999999993E-5</v>
      </c>
      <c r="H28" s="9" t="s">
        <v>71</v>
      </c>
    </row>
    <row r="29" spans="3:8" x14ac:dyDescent="0.15">
      <c r="C29" s="9" t="s">
        <v>70</v>
      </c>
      <c r="D29" s="18">
        <v>22</v>
      </c>
      <c r="E29" s="9" t="s">
        <v>3</v>
      </c>
      <c r="F29" s="9">
        <f>D29*0.000001</f>
        <v>2.1999999999999999E-5</v>
      </c>
      <c r="H29" s="9" t="s">
        <v>120</v>
      </c>
    </row>
    <row r="30" spans="3:8" hidden="1" x14ac:dyDescent="0.15">
      <c r="C30" s="9" t="s">
        <v>83</v>
      </c>
      <c r="D30" s="9">
        <f>2.5/D24</f>
        <v>6.41025641025641E-3</v>
      </c>
    </row>
    <row r="31" spans="3:8" x14ac:dyDescent="0.15">
      <c r="H31" s="9" t="s">
        <v>121</v>
      </c>
    </row>
    <row r="33" spans="2:14" x14ac:dyDescent="0.15">
      <c r="B33" s="9" t="s">
        <v>66</v>
      </c>
    </row>
    <row r="34" spans="2:14" x14ac:dyDescent="0.15">
      <c r="C34" s="9" t="s">
        <v>93</v>
      </c>
      <c r="D34" s="16">
        <f>D47</f>
        <v>1.1545520549693227</v>
      </c>
      <c r="E34" s="9" t="s">
        <v>67</v>
      </c>
      <c r="H34" s="9" t="s">
        <v>96</v>
      </c>
      <c r="J34" s="16">
        <f>D45</f>
        <v>0.77145488032245813</v>
      </c>
      <c r="K34" s="16" t="s">
        <v>67</v>
      </c>
      <c r="L34" s="9" t="s">
        <v>82</v>
      </c>
      <c r="M34" s="16">
        <f>D46</f>
        <v>1.537649229616187</v>
      </c>
      <c r="N34" s="9" t="s">
        <v>67</v>
      </c>
    </row>
    <row r="35" spans="2:14" x14ac:dyDescent="0.15">
      <c r="C35" s="9" t="s">
        <v>94</v>
      </c>
      <c r="D35" s="16">
        <f>D41</f>
        <v>10.303928037542676</v>
      </c>
      <c r="E35" s="9" t="s">
        <v>68</v>
      </c>
    </row>
    <row r="36" spans="2:14" x14ac:dyDescent="0.15">
      <c r="C36" s="9" t="s">
        <v>95</v>
      </c>
      <c r="D36" s="16">
        <f>D50</f>
        <v>5.0672650260745404E-2</v>
      </c>
      <c r="E36" s="9" t="s">
        <v>67</v>
      </c>
    </row>
    <row r="37" spans="2:14" hidden="1" x14ac:dyDescent="0.15">
      <c r="D37" s="16"/>
    </row>
    <row r="38" spans="2:14" hidden="1" x14ac:dyDescent="0.15">
      <c r="C38" s="9" t="s">
        <v>84</v>
      </c>
      <c r="D38" s="16"/>
    </row>
    <row r="39" spans="2:14" hidden="1" x14ac:dyDescent="0.15">
      <c r="C39" s="9" t="s">
        <v>33</v>
      </c>
      <c r="D39" s="9">
        <f>メイン回路!G11</f>
        <v>25.540635888828582</v>
      </c>
      <c r="E39" s="10" t="s">
        <v>35</v>
      </c>
    </row>
    <row r="40" spans="2:14" hidden="1" x14ac:dyDescent="0.15">
      <c r="C40" s="9" t="s">
        <v>91</v>
      </c>
      <c r="D40" s="9">
        <f>-20-D39</f>
        <v>-45.540635888828582</v>
      </c>
    </row>
    <row r="41" spans="2:14" hidden="1" x14ac:dyDescent="0.15">
      <c r="C41" s="9" t="s">
        <v>97</v>
      </c>
      <c r="D41" s="9">
        <f>10^(D40/20)*D24/(F28*2.5)/1000</f>
        <v>10.303928037542676</v>
      </c>
      <c r="E41" s="9" t="s">
        <v>79</v>
      </c>
    </row>
    <row r="42" spans="2:14" hidden="1" x14ac:dyDescent="0.15"/>
    <row r="43" spans="2:14" hidden="1" x14ac:dyDescent="0.15">
      <c r="C43" s="9" t="s">
        <v>33</v>
      </c>
      <c r="D43" s="9">
        <f>メイン回路!G10</f>
        <v>39.510500210173099</v>
      </c>
      <c r="E43" s="10" t="s">
        <v>36</v>
      </c>
    </row>
    <row r="44" spans="2:14" hidden="1" x14ac:dyDescent="0.15">
      <c r="D44" s="9">
        <f>メイン回路!G9</f>
        <v>45.501435094143439</v>
      </c>
      <c r="E44" s="10" t="s">
        <v>37</v>
      </c>
    </row>
    <row r="45" spans="2:14" hidden="1" x14ac:dyDescent="0.15">
      <c r="C45" s="9" t="s">
        <v>98</v>
      </c>
      <c r="D45" s="9">
        <f>F28*2.5/(2*PI()*F11/10*10^(-D43/20)*D24)*1000000</f>
        <v>0.77145488032245813</v>
      </c>
      <c r="E45" s="9" t="s">
        <v>80</v>
      </c>
    </row>
    <row r="46" spans="2:14" hidden="1" x14ac:dyDescent="0.15">
      <c r="C46" s="9" t="s">
        <v>99</v>
      </c>
      <c r="D46" s="9">
        <f>F28*2.5/(2*PI()*F11/10*10^(-D44/20)*D24)*1000000</f>
        <v>1.537649229616187</v>
      </c>
      <c r="E46" s="9" t="s">
        <v>81</v>
      </c>
    </row>
    <row r="47" spans="2:14" hidden="1" x14ac:dyDescent="0.15">
      <c r="C47" s="9" t="s">
        <v>100</v>
      </c>
      <c r="D47" s="9">
        <f>(D45+D46)/2</f>
        <v>1.1545520549693227</v>
      </c>
      <c r="E47" s="9" t="s">
        <v>67</v>
      </c>
    </row>
    <row r="48" spans="2:14" hidden="1" x14ac:dyDescent="0.15"/>
    <row r="49" spans="2:7" hidden="1" x14ac:dyDescent="0.15">
      <c r="C49" s="9" t="s">
        <v>101</v>
      </c>
      <c r="D49" s="9">
        <f>1/(2*PI()*F11*1.5*D54*1000)</f>
        <v>4.8228770633907686E-8</v>
      </c>
    </row>
    <row r="50" spans="2:7" hidden="1" x14ac:dyDescent="0.15">
      <c r="C50" s="9" t="s">
        <v>95</v>
      </c>
      <c r="D50" s="9">
        <f>(F53*D49)/(F53-D49)*1000000</f>
        <v>5.0672650260745404E-2</v>
      </c>
      <c r="E50" s="9" t="s">
        <v>67</v>
      </c>
    </row>
    <row r="52" spans="2:7" x14ac:dyDescent="0.15">
      <c r="B52" s="9" t="s">
        <v>119</v>
      </c>
    </row>
    <row r="53" spans="2:7" x14ac:dyDescent="0.15">
      <c r="C53" s="9" t="s">
        <v>93</v>
      </c>
      <c r="D53" s="18">
        <v>1</v>
      </c>
      <c r="E53" s="9" t="s">
        <v>11</v>
      </c>
      <c r="F53" s="9">
        <f>D53*0.000001</f>
        <v>9.9999999999999995E-7</v>
      </c>
      <c r="G53" s="9" t="s">
        <v>12</v>
      </c>
    </row>
    <row r="54" spans="2:7" x14ac:dyDescent="0.15">
      <c r="C54" s="9" t="s">
        <v>94</v>
      </c>
      <c r="D54" s="18">
        <v>22</v>
      </c>
      <c r="E54" s="9" t="s">
        <v>13</v>
      </c>
      <c r="F54" s="9">
        <f>D54*1000</f>
        <v>22000</v>
      </c>
      <c r="G54" s="9" t="s">
        <v>10</v>
      </c>
    </row>
    <row r="55" spans="2:7" x14ac:dyDescent="0.15">
      <c r="C55" s="9" t="s">
        <v>95</v>
      </c>
      <c r="D55" s="18">
        <v>0.15</v>
      </c>
      <c r="E55" s="9" t="s">
        <v>11</v>
      </c>
      <c r="F55" s="9">
        <f>D55*0.000001</f>
        <v>1.4999999999999999E-7</v>
      </c>
      <c r="G55" s="9" t="s">
        <v>12</v>
      </c>
    </row>
    <row r="57" spans="2:7" x14ac:dyDescent="0.15">
      <c r="B57" s="9" t="s">
        <v>72</v>
      </c>
    </row>
    <row r="58" spans="2:7" x14ac:dyDescent="0.15">
      <c r="C58" s="9" t="s">
        <v>73</v>
      </c>
      <c r="D58" s="17">
        <f>全体!E41</f>
        <v>51.821645692241304</v>
      </c>
      <c r="E58" s="9" t="s">
        <v>74</v>
      </c>
    </row>
    <row r="59" spans="2:7" x14ac:dyDescent="0.15">
      <c r="C59" s="9" t="s">
        <v>75</v>
      </c>
      <c r="D59" s="17">
        <f>全体!E37</f>
        <v>19.888310787266363</v>
      </c>
      <c r="E59" s="9" t="s">
        <v>76</v>
      </c>
    </row>
    <row r="60" spans="2:7" x14ac:dyDescent="0.15">
      <c r="C60" s="10" t="s">
        <v>78</v>
      </c>
      <c r="D60" s="17">
        <f>全体!N46</f>
        <v>-20.88760945975833</v>
      </c>
      <c r="E60" s="9" t="s">
        <v>77</v>
      </c>
    </row>
    <row r="63" spans="2:7" x14ac:dyDescent="0.15">
      <c r="C63" s="9" t="s">
        <v>112</v>
      </c>
    </row>
    <row r="64" spans="2:7" x14ac:dyDescent="0.15">
      <c r="C64" s="9" t="s">
        <v>110</v>
      </c>
    </row>
    <row r="66" spans="3:3" x14ac:dyDescent="0.15">
      <c r="C66" s="10" t="s">
        <v>113</v>
      </c>
    </row>
    <row r="67" spans="3:3" x14ac:dyDescent="0.15">
      <c r="C67" s="9" t="s">
        <v>111</v>
      </c>
    </row>
  </sheetData>
  <sheetProtection password="826F" sheet="1" objects="1" scenarios="1"/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H36"/>
  <sheetViews>
    <sheetView topLeftCell="A7" workbookViewId="0"/>
  </sheetViews>
  <sheetFormatPr defaultRowHeight="13.5" x14ac:dyDescent="0.15"/>
  <cols>
    <col min="4" max="4" width="18.125" customWidth="1"/>
    <col min="5" max="5" width="18" customWidth="1"/>
    <col min="6" max="6" width="36.125" customWidth="1"/>
    <col min="7" max="7" width="11.25" customWidth="1"/>
  </cols>
  <sheetData>
    <row r="2" spans="2:8" x14ac:dyDescent="0.15">
      <c r="B2" t="s">
        <v>14</v>
      </c>
      <c r="C2">
        <f>'COMP design'!D21</f>
        <v>1521.1428571428571</v>
      </c>
    </row>
    <row r="3" spans="2:8" x14ac:dyDescent="0.15">
      <c r="B3" t="s">
        <v>7</v>
      </c>
      <c r="C3">
        <f>'COMP design'!D24</f>
        <v>390</v>
      </c>
    </row>
    <row r="4" spans="2:8" x14ac:dyDescent="0.15">
      <c r="B4" t="s">
        <v>9</v>
      </c>
      <c r="C4" s="4">
        <f>'COMP design'!D26</f>
        <v>1014</v>
      </c>
    </row>
    <row r="5" spans="2:8" x14ac:dyDescent="0.15">
      <c r="B5" t="s">
        <v>15</v>
      </c>
      <c r="C5">
        <f>'COMP design'!F27</f>
        <v>1.64E-4</v>
      </c>
    </row>
    <row r="7" spans="2:8" x14ac:dyDescent="0.15">
      <c r="B7" t="s">
        <v>34</v>
      </c>
    </row>
    <row r="8" spans="2:8" x14ac:dyDescent="0.15">
      <c r="B8" t="s">
        <v>16</v>
      </c>
      <c r="C8" t="s">
        <v>17</v>
      </c>
      <c r="D8" t="s">
        <v>18</v>
      </c>
      <c r="E8" t="s">
        <v>19</v>
      </c>
      <c r="F8" t="s">
        <v>20</v>
      </c>
      <c r="G8" t="s">
        <v>21</v>
      </c>
      <c r="H8" t="s">
        <v>22</v>
      </c>
    </row>
    <row r="9" spans="2:8" x14ac:dyDescent="0.15">
      <c r="B9">
        <f>'COMP design'!F11/10</f>
        <v>10</v>
      </c>
      <c r="C9" s="2">
        <f>2*PI()*B9</f>
        <v>62.831853071795862</v>
      </c>
      <c r="D9" t="str">
        <f>COMPLEX(1,C9*$C$5*$C$4,"j")</f>
        <v>1+10.4486858384274j</v>
      </c>
      <c r="E9" t="str">
        <f>COMPLEX($C$2*$C$4/(2*$C$3),0,"j")</f>
        <v>1977.48571428571</v>
      </c>
      <c r="F9" t="str">
        <f>IMDIV(E9,D9)</f>
        <v>17.9485824608227-187.539099378244j</v>
      </c>
      <c r="G9" s="3">
        <f>20*LOG(IMABS(F9))</f>
        <v>45.501435094143439</v>
      </c>
      <c r="H9">
        <f>DEGREES(IMARGUMENT(F9))</f>
        <v>-84.533111625623533</v>
      </c>
    </row>
    <row r="10" spans="2:8" x14ac:dyDescent="0.15">
      <c r="B10">
        <f>'COMP design'!F11/5</f>
        <v>20</v>
      </c>
      <c r="C10" s="2">
        <f>2*PI()*B10</f>
        <v>125.66370614359172</v>
      </c>
      <c r="D10" t="str">
        <f>COMPLEX(1,C10*$C$5*$C$4,"j")</f>
        <v>1+20.8973716768547j</v>
      </c>
      <c r="E10" t="str">
        <f>COMPLEX($C$2*$C$4/(2*$C$3),0,"j")</f>
        <v>1977.48571428571</v>
      </c>
      <c r="F10" t="str">
        <f>IMDIV(E10,D10)</f>
        <v>4.51790054426132-94.412246872493j</v>
      </c>
      <c r="G10" s="3">
        <f>20*LOG(IMABS(F10))</f>
        <v>39.510500210173099</v>
      </c>
      <c r="H10">
        <f>DEGREES(IMARGUMENT(F10))</f>
        <v>-87.26032026876112</v>
      </c>
    </row>
    <row r="11" spans="2:8" x14ac:dyDescent="0.15">
      <c r="B11">
        <f>'COMP design'!F11</f>
        <v>100</v>
      </c>
      <c r="C11" s="2">
        <f>2*PI()*B11</f>
        <v>628.31853071795865</v>
      </c>
      <c r="D11" t="str">
        <f>COMPLEX(1,C11*$C$5*$C$4,"j")</f>
        <v>1+104.486858384274j</v>
      </c>
      <c r="E11" t="str">
        <f>COMPLEX($C$2*$C$4/(2*$C$3),0,"j")</f>
        <v>1977.48571428571</v>
      </c>
      <c r="F11" t="str">
        <f>IMDIV(E11,D11)</f>
        <v>0.181113254275134-18.9239549509609j</v>
      </c>
      <c r="G11" s="3">
        <f>20*LOG(IMABS(F11))</f>
        <v>25.540635888828582</v>
      </c>
      <c r="H11">
        <f>DEGREES(IMARGUMENT(F11))</f>
        <v>-89.451662810617151</v>
      </c>
    </row>
    <row r="12" spans="2:8" x14ac:dyDescent="0.15">
      <c r="C12" s="2"/>
      <c r="G12" s="3"/>
    </row>
    <row r="13" spans="2:8" x14ac:dyDescent="0.15">
      <c r="B13" t="s">
        <v>43</v>
      </c>
      <c r="C13" s="2"/>
      <c r="G13" s="3"/>
    </row>
    <row r="14" spans="2:8" x14ac:dyDescent="0.15">
      <c r="B14">
        <f>全体!D28</f>
        <v>15</v>
      </c>
      <c r="C14" s="2">
        <f>2*PI()*B14</f>
        <v>94.247779607693786</v>
      </c>
      <c r="D14" t="str">
        <f>COMPLEX(1,C14*$C$5*$C$4,"j")</f>
        <v>1+15.673028757641j</v>
      </c>
      <c r="E14" t="str">
        <f>COMPLEX($C$2*$C$4/(2*$C$3),0,"j")</f>
        <v>1977.48571428571</v>
      </c>
      <c r="F14" t="str">
        <f>IMDIV(E14,D14)</f>
        <v>8.01757623847829-125.659702952249j</v>
      </c>
      <c r="G14" s="3">
        <f>20*LOG(IMABS(F14))</f>
        <v>42.001564530501014</v>
      </c>
      <c r="H14">
        <f>DEGREES(IMARGUMENT(F14))</f>
        <v>-86.349255741938535</v>
      </c>
    </row>
    <row r="15" spans="2:8" x14ac:dyDescent="0.15">
      <c r="B15">
        <f>全体!E28</f>
        <v>30</v>
      </c>
      <c r="C15" s="2">
        <f>2*PI()*B15</f>
        <v>188.49555921538757</v>
      </c>
      <c r="D15" t="str">
        <f>COMPLEX(1,C15*$C$5*$C$4,"j")</f>
        <v>1+31.3460575152821j</v>
      </c>
      <c r="E15" t="str">
        <f>COMPLEX($C$2*$C$4/(2*$C$3),0,"j")</f>
        <v>1977.48571428571</v>
      </c>
      <c r="F15" t="str">
        <f>IMDIV(E15,D15)</f>
        <v>2.0105076556461-63.0214886087976j</v>
      </c>
      <c r="G15" s="3">
        <f>20*LOG(IMABS(F15))</f>
        <v>35.994190859153754</v>
      </c>
      <c r="H15">
        <f>DEGREES(IMARGUMENT(F15))</f>
        <v>-88.172773272550316</v>
      </c>
    </row>
    <row r="17" spans="2:8" x14ac:dyDescent="0.15">
      <c r="B17" t="s">
        <v>16</v>
      </c>
      <c r="C17" t="s">
        <v>17</v>
      </c>
      <c r="D17" t="s">
        <v>18</v>
      </c>
      <c r="E17" t="s">
        <v>19</v>
      </c>
      <c r="F17" t="s">
        <v>20</v>
      </c>
      <c r="G17" t="s">
        <v>21</v>
      </c>
      <c r="H17" t="s">
        <v>22</v>
      </c>
    </row>
    <row r="18" spans="2:8" x14ac:dyDescent="0.15">
      <c r="B18">
        <v>1</v>
      </c>
      <c r="C18" s="2">
        <f>2*PI()*B18</f>
        <v>6.2831853071795862</v>
      </c>
      <c r="D18" t="str">
        <f>COMPLEX(1,C18*$C$5*$C$4,"j")</f>
        <v>1+1.04486858384274j</v>
      </c>
      <c r="E18" t="str">
        <f>COMPLEX($C$2*$C$4/(2*$C$3),0,"j")</f>
        <v>1977.48571428571</v>
      </c>
      <c r="F18" t="str">
        <f>IMDIV(E18,D18)</f>
        <v>945.373670999485-987.791248819444j</v>
      </c>
      <c r="G18" s="3">
        <f>20*LOG(IMABS(F18))</f>
        <v>62.717168576352691</v>
      </c>
      <c r="H18">
        <f>DEGREES(IMARGUMENT(F18))</f>
        <v>-46.256984461667884</v>
      </c>
    </row>
    <row r="19" spans="2:8" x14ac:dyDescent="0.15">
      <c r="B19">
        <v>1.5</v>
      </c>
      <c r="C19" s="2">
        <f t="shared" ref="C19:C36" si="0">2*PI()*B19</f>
        <v>9.4247779607693793</v>
      </c>
      <c r="D19" t="str">
        <f t="shared" ref="D19:D36" si="1">COMPLEX(1,C19*$C$5*$C$4,"j")</f>
        <v>1+1.5673028757641j</v>
      </c>
      <c r="E19" t="str">
        <f t="shared" ref="E19:E36" si="2">COMPLEX($C$2*$C$4/(2*$C$3),0,"j")</f>
        <v>1977.48571428571</v>
      </c>
      <c r="F19" t="str">
        <f t="shared" ref="F19:F36" si="3">IMDIV(E19,D19)</f>
        <v>572.116595219057-896.679984959193j</v>
      </c>
      <c r="G19" s="3">
        <f t="shared" ref="G19:G36" si="4">20*LOG(IMABS(F19))</f>
        <v>60.535979001608254</v>
      </c>
      <c r="H19">
        <f t="shared" ref="H19:H36" si="5">DEGREES(IMARGUMENT(F19))</f>
        <v>-57.460545694999787</v>
      </c>
    </row>
    <row r="20" spans="2:8" x14ac:dyDescent="0.15">
      <c r="B20">
        <v>2</v>
      </c>
      <c r="C20" s="2">
        <f t="shared" si="0"/>
        <v>12.566370614359172</v>
      </c>
      <c r="D20" t="str">
        <f t="shared" si="1"/>
        <v>1+2.08973716768547j</v>
      </c>
      <c r="E20" t="str">
        <f t="shared" si="2"/>
        <v>1977.48571428571</v>
      </c>
      <c r="F20" t="str">
        <f t="shared" si="3"/>
        <v>368.452615501439-769.969125144282j</v>
      </c>
      <c r="G20" s="3">
        <f t="shared" si="4"/>
        <v>58.624949985161237</v>
      </c>
      <c r="H20">
        <f t="shared" si="5"/>
        <v>-64.42752959057475</v>
      </c>
    </row>
    <row r="21" spans="2:8" x14ac:dyDescent="0.15">
      <c r="B21">
        <v>3</v>
      </c>
      <c r="C21" s="2">
        <f t="shared" si="0"/>
        <v>18.849555921538759</v>
      </c>
      <c r="D21" t="str">
        <f t="shared" si="1"/>
        <v>1+3.13460575152821j</v>
      </c>
      <c r="E21" t="str">
        <f t="shared" si="2"/>
        <v>1977.48571428571</v>
      </c>
      <c r="F21" t="str">
        <f t="shared" si="3"/>
        <v>182.664954073271-572.582615640711j</v>
      </c>
      <c r="G21" s="3">
        <f t="shared" si="4"/>
        <v>55.577685867719985</v>
      </c>
      <c r="H21">
        <f t="shared" si="5"/>
        <v>-72.306309023128946</v>
      </c>
    </row>
    <row r="22" spans="2:8" x14ac:dyDescent="0.15">
      <c r="B22">
        <v>5</v>
      </c>
      <c r="C22" s="2">
        <f t="shared" si="0"/>
        <v>31.415926535897931</v>
      </c>
      <c r="D22" t="str">
        <f t="shared" si="1"/>
        <v>1+5.22434291921368j</v>
      </c>
      <c r="E22" t="str">
        <f t="shared" si="2"/>
        <v>1977.48571428571</v>
      </c>
      <c r="F22" t="str">
        <f t="shared" si="3"/>
        <v>69.8912335632479-365.135771181264j</v>
      </c>
      <c r="G22" s="3">
        <f t="shared" si="4"/>
        <v>51.405360604924859</v>
      </c>
      <c r="H22">
        <f t="shared" si="5"/>
        <v>-79.163990708138627</v>
      </c>
    </row>
    <row r="23" spans="2:8" x14ac:dyDescent="0.15">
      <c r="B23">
        <v>7</v>
      </c>
      <c r="C23" s="2">
        <f t="shared" si="0"/>
        <v>43.982297150257104</v>
      </c>
      <c r="D23" t="str">
        <f t="shared" si="1"/>
        <v>1+7.31408008689916j</v>
      </c>
      <c r="E23" t="str">
        <f t="shared" si="2"/>
        <v>1977.48571428571</v>
      </c>
      <c r="F23" t="str">
        <f t="shared" si="3"/>
        <v>36.2869596000822-265.405728625076j</v>
      </c>
      <c r="G23" s="3">
        <f t="shared" si="4"/>
        <v>48.558639359599383</v>
      </c>
      <c r="H23">
        <f t="shared" si="5"/>
        <v>-82.214643670075063</v>
      </c>
    </row>
    <row r="24" spans="2:8" x14ac:dyDescent="0.15">
      <c r="B24">
        <v>10</v>
      </c>
      <c r="C24" s="2">
        <f t="shared" si="0"/>
        <v>62.831853071795862</v>
      </c>
      <c r="D24" t="str">
        <f t="shared" si="1"/>
        <v>1+10.4486858384274j</v>
      </c>
      <c r="E24" t="str">
        <f t="shared" si="2"/>
        <v>1977.48571428571</v>
      </c>
      <c r="F24" t="str">
        <f t="shared" si="3"/>
        <v>17.9485824608227-187.539099378244j</v>
      </c>
      <c r="G24" s="3">
        <f t="shared" si="4"/>
        <v>45.501435094143439</v>
      </c>
      <c r="H24">
        <f t="shared" si="5"/>
        <v>-84.533111625623533</v>
      </c>
    </row>
    <row r="25" spans="2:8" x14ac:dyDescent="0.15">
      <c r="B25">
        <v>15</v>
      </c>
      <c r="C25" s="2">
        <f t="shared" si="0"/>
        <v>94.247779607693786</v>
      </c>
      <c r="D25" t="str">
        <f t="shared" si="1"/>
        <v>1+15.673028757641j</v>
      </c>
      <c r="E25" t="str">
        <f t="shared" si="2"/>
        <v>1977.48571428571</v>
      </c>
      <c r="F25" t="str">
        <f t="shared" si="3"/>
        <v>8.01757623847829-125.659702952249j</v>
      </c>
      <c r="G25" s="3">
        <f t="shared" si="4"/>
        <v>42.001564530501014</v>
      </c>
      <c r="H25">
        <f t="shared" si="5"/>
        <v>-86.349255741938535</v>
      </c>
    </row>
    <row r="26" spans="2:8" x14ac:dyDescent="0.15">
      <c r="B26">
        <v>20</v>
      </c>
      <c r="C26" s="2">
        <f t="shared" si="0"/>
        <v>125.66370614359172</v>
      </c>
      <c r="D26" t="str">
        <f t="shared" si="1"/>
        <v>1+20.8973716768547j</v>
      </c>
      <c r="E26" t="str">
        <f t="shared" si="2"/>
        <v>1977.48571428571</v>
      </c>
      <c r="F26" t="str">
        <f t="shared" si="3"/>
        <v>4.51790054426132-94.412246872493j</v>
      </c>
      <c r="G26" s="3">
        <f t="shared" si="4"/>
        <v>39.510500210173099</v>
      </c>
      <c r="H26">
        <f t="shared" si="5"/>
        <v>-87.26032026876112</v>
      </c>
    </row>
    <row r="27" spans="2:8" x14ac:dyDescent="0.15">
      <c r="B27">
        <v>30</v>
      </c>
      <c r="C27" s="2">
        <f t="shared" si="0"/>
        <v>188.49555921538757</v>
      </c>
      <c r="D27" t="str">
        <f t="shared" si="1"/>
        <v>1+31.3460575152821j</v>
      </c>
      <c r="E27" t="str">
        <f t="shared" si="2"/>
        <v>1977.48571428571</v>
      </c>
      <c r="F27" t="str">
        <f t="shared" si="3"/>
        <v>2.0105076556461-63.0214886087976j</v>
      </c>
      <c r="G27" s="3">
        <f t="shared" si="4"/>
        <v>35.994190859153754</v>
      </c>
      <c r="H27">
        <f t="shared" si="5"/>
        <v>-88.172773272550316</v>
      </c>
    </row>
    <row r="28" spans="2:8" x14ac:dyDescent="0.15">
      <c r="B28">
        <v>50</v>
      </c>
      <c r="C28" s="2">
        <f t="shared" si="0"/>
        <v>314.15926535897933</v>
      </c>
      <c r="D28" t="str">
        <f t="shared" si="1"/>
        <v>1+52.2434291921368j</v>
      </c>
      <c r="E28" t="str">
        <f t="shared" si="2"/>
        <v>1977.48571428571</v>
      </c>
      <c r="F28" t="str">
        <f t="shared" si="3"/>
        <v>0.724254018946452-37.8375135559495j</v>
      </c>
      <c r="G28" s="3">
        <f t="shared" si="4"/>
        <v>31.560042685782829</v>
      </c>
      <c r="H28">
        <f t="shared" si="5"/>
        <v>-88.903426047725986</v>
      </c>
    </row>
    <row r="29" spans="2:8" x14ac:dyDescent="0.15">
      <c r="B29">
        <v>70</v>
      </c>
      <c r="C29" s="2">
        <f t="shared" si="0"/>
        <v>439.82297150257102</v>
      </c>
      <c r="D29" t="str">
        <f t="shared" si="1"/>
        <v>1+73.1408008689915j</v>
      </c>
      <c r="E29" t="str">
        <f t="shared" si="2"/>
        <v>1977.48571428571</v>
      </c>
      <c r="F29" t="str">
        <f t="shared" si="3"/>
        <v>0.36958365537625-27.0316445423083j</v>
      </c>
      <c r="G29" s="3">
        <f t="shared" si="4"/>
        <v>28.638261113092636</v>
      </c>
      <c r="H29">
        <f t="shared" si="5"/>
        <v>-89.216686047735109</v>
      </c>
    </row>
    <row r="30" spans="2:8" x14ac:dyDescent="0.15">
      <c r="B30">
        <v>100</v>
      </c>
      <c r="C30" s="2">
        <f t="shared" si="0"/>
        <v>628.31853071795865</v>
      </c>
      <c r="D30" t="str">
        <f t="shared" si="1"/>
        <v>1+104.486858384274j</v>
      </c>
      <c r="E30" t="str">
        <f t="shared" si="2"/>
        <v>1977.48571428571</v>
      </c>
      <c r="F30" t="str">
        <f t="shared" si="3"/>
        <v>0.181113254275134-18.9239549509609j</v>
      </c>
      <c r="G30" s="3">
        <f t="shared" si="4"/>
        <v>25.540635888828582</v>
      </c>
      <c r="H30">
        <f t="shared" si="5"/>
        <v>-89.451662810617151</v>
      </c>
    </row>
    <row r="31" spans="2:8" x14ac:dyDescent="0.15">
      <c r="B31">
        <v>150</v>
      </c>
      <c r="C31" s="2">
        <f t="shared" si="0"/>
        <v>942.47779607693792</v>
      </c>
      <c r="D31" t="str">
        <f t="shared" si="1"/>
        <v>1+156.73028757641j</v>
      </c>
      <c r="E31" t="str">
        <f t="shared" si="2"/>
        <v>1977.48571428571</v>
      </c>
      <c r="F31" t="str">
        <f t="shared" si="3"/>
        <v>0.08049887562352-12.616611926052j</v>
      </c>
      <c r="G31" s="3">
        <f t="shared" si="4"/>
        <v>22.019031691157519</v>
      </c>
      <c r="H31">
        <f t="shared" si="5"/>
        <v>-89.634435673367364</v>
      </c>
    </row>
    <row r="32" spans="2:8" x14ac:dyDescent="0.15">
      <c r="B32">
        <v>200</v>
      </c>
      <c r="C32" s="2">
        <f t="shared" si="0"/>
        <v>1256.6370614359173</v>
      </c>
      <c r="D32" t="str">
        <f t="shared" si="1"/>
        <v>1+208.973716768547j</v>
      </c>
      <c r="E32" t="str">
        <f t="shared" si="2"/>
        <v>1977.48571428571</v>
      </c>
      <c r="F32" t="str">
        <f t="shared" si="3"/>
        <v>0.0452814239829312-9.46262747028556j</v>
      </c>
      <c r="G32" s="3">
        <f t="shared" si="4"/>
        <v>19.520334305852888</v>
      </c>
      <c r="H32">
        <f t="shared" si="5"/>
        <v>-89.725825127359371</v>
      </c>
    </row>
    <row r="33" spans="2:8" x14ac:dyDescent="0.15">
      <c r="B33">
        <v>300</v>
      </c>
      <c r="C33" s="2">
        <f t="shared" si="0"/>
        <v>1884.9555921538758</v>
      </c>
      <c r="D33" t="str">
        <f t="shared" si="1"/>
        <v>1+313.460575152821j</v>
      </c>
      <c r="E33" t="str">
        <f t="shared" si="2"/>
        <v>1977.48571428571</v>
      </c>
      <c r="F33" t="str">
        <f t="shared" si="3"/>
        <v>0.0201253333477546-6.30849856632941j</v>
      </c>
      <c r="G33" s="3">
        <f t="shared" si="4"/>
        <v>15.998564373340811</v>
      </c>
      <c r="H33">
        <f t="shared" si="5"/>
        <v>-89.817215976479588</v>
      </c>
    </row>
    <row r="34" spans="2:8" x14ac:dyDescent="0.15">
      <c r="B34">
        <v>500</v>
      </c>
      <c r="C34" s="2">
        <f t="shared" si="0"/>
        <v>3141.5926535897929</v>
      </c>
      <c r="D34" t="str">
        <f t="shared" si="1"/>
        <v>1+522.434291921368j</v>
      </c>
      <c r="E34" t="str">
        <f t="shared" si="2"/>
        <v>1977.48571428571</v>
      </c>
      <c r="F34" t="str">
        <f t="shared" si="3"/>
        <v>0.00724516719607578-3.78512379393378j</v>
      </c>
      <c r="G34" s="3">
        <f t="shared" si="4"/>
        <v>11.561617668569745</v>
      </c>
      <c r="H34">
        <f t="shared" si="5"/>
        <v>-89.890329347776344</v>
      </c>
    </row>
    <row r="35" spans="2:8" x14ac:dyDescent="0.15">
      <c r="B35">
        <v>700</v>
      </c>
      <c r="C35" s="2">
        <f t="shared" si="0"/>
        <v>4398.22971502571</v>
      </c>
      <c r="D35" t="str">
        <f t="shared" si="1"/>
        <v>1+731.408008689916j</v>
      </c>
      <c r="E35" t="str">
        <f t="shared" si="2"/>
        <v>1977.48571428571</v>
      </c>
      <c r="F35" t="str">
        <f t="shared" si="3"/>
        <v>0.00369652050905811-2.70366470461163j</v>
      </c>
      <c r="G35" s="3">
        <f t="shared" si="4"/>
        <v>8.6390647485476837</v>
      </c>
      <c r="H35">
        <f t="shared" si="5"/>
        <v>-89.921663772981347</v>
      </c>
    </row>
    <row r="36" spans="2:8" x14ac:dyDescent="0.15">
      <c r="B36">
        <v>1000</v>
      </c>
      <c r="C36" s="2">
        <f t="shared" si="0"/>
        <v>6283.1853071795858</v>
      </c>
      <c r="D36" t="str">
        <f t="shared" si="1"/>
        <v>1+1044.86858384274j</v>
      </c>
      <c r="E36" t="str">
        <f t="shared" si="2"/>
        <v>1977.48571428571</v>
      </c>
      <c r="F36" t="str">
        <f t="shared" si="3"/>
        <v>0.00181129677622859-1.89256709749688j</v>
      </c>
      <c r="G36" s="3">
        <f t="shared" si="4"/>
        <v>5.5410296891580293</v>
      </c>
      <c r="H36">
        <f t="shared" si="5"/>
        <v>-89.94516462366127</v>
      </c>
    </row>
  </sheetData>
  <phoneticPr fontId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L39"/>
  <sheetViews>
    <sheetView workbookViewId="0"/>
  </sheetViews>
  <sheetFormatPr defaultRowHeight="13.5" x14ac:dyDescent="0.15"/>
  <cols>
    <col min="3" max="3" width="12.75" bestFit="1" customWidth="1"/>
    <col min="4" max="4" width="18.125" customWidth="1"/>
    <col min="5" max="8" width="22.875" customWidth="1"/>
    <col min="9" max="9" width="18" customWidth="1"/>
    <col min="10" max="10" width="36.125" customWidth="1"/>
    <col min="11" max="11" width="11.25" customWidth="1"/>
  </cols>
  <sheetData>
    <row r="2" spans="2:12" x14ac:dyDescent="0.15">
      <c r="B2" t="s">
        <v>93</v>
      </c>
      <c r="C2">
        <f>'COMP design'!F53</f>
        <v>9.9999999999999995E-7</v>
      </c>
    </row>
    <row r="3" spans="2:12" x14ac:dyDescent="0.15">
      <c r="B3" t="s">
        <v>95</v>
      </c>
      <c r="C3">
        <f>'COMP design'!F55</f>
        <v>1.4999999999999999E-7</v>
      </c>
    </row>
    <row r="4" spans="2:12" x14ac:dyDescent="0.15">
      <c r="B4" t="s">
        <v>94</v>
      </c>
      <c r="C4" s="4">
        <f>'COMP design'!F54</f>
        <v>22000</v>
      </c>
    </row>
    <row r="5" spans="2:12" x14ac:dyDescent="0.15">
      <c r="B5" t="s">
        <v>103</v>
      </c>
      <c r="C5">
        <f>C2*C3/(C2+C3)</f>
        <v>1.3043478260869566E-7</v>
      </c>
    </row>
    <row r="6" spans="2:12" x14ac:dyDescent="0.15">
      <c r="B6" t="s">
        <v>23</v>
      </c>
      <c r="C6">
        <f>'COMP design'!F28</f>
        <v>7.9999999999999993E-5</v>
      </c>
    </row>
    <row r="7" spans="2:12" x14ac:dyDescent="0.15">
      <c r="B7" t="s">
        <v>24</v>
      </c>
      <c r="C7">
        <f>'COMP design'!D30</f>
        <v>6.41025641025641E-3</v>
      </c>
    </row>
    <row r="9" spans="2:12" x14ac:dyDescent="0.15">
      <c r="B9" t="s">
        <v>56</v>
      </c>
    </row>
    <row r="10" spans="2:12" x14ac:dyDescent="0.15">
      <c r="B10" t="s">
        <v>16</v>
      </c>
      <c r="C10" t="s">
        <v>17</v>
      </c>
      <c r="D10" t="s">
        <v>104</v>
      </c>
      <c r="E10" t="s">
        <v>105</v>
      </c>
      <c r="F10" t="s">
        <v>106</v>
      </c>
      <c r="G10" t="s">
        <v>25</v>
      </c>
      <c r="H10" t="s">
        <v>26</v>
      </c>
      <c r="I10" t="s">
        <v>19</v>
      </c>
      <c r="J10" t="s">
        <v>20</v>
      </c>
      <c r="K10" t="s">
        <v>21</v>
      </c>
      <c r="L10" t="s">
        <v>22</v>
      </c>
    </row>
    <row r="11" spans="2:12" x14ac:dyDescent="0.15">
      <c r="B11">
        <f>'COMP design'!F11</f>
        <v>100</v>
      </c>
      <c r="C11" s="2">
        <f>2*PI()*B11</f>
        <v>628.31853071795865</v>
      </c>
      <c r="D11" t="str">
        <f>COMPLEX(1,C11*$C$2*$C$4,"j")</f>
        <v>1+13.8230076757951j</v>
      </c>
      <c r="E11" t="str">
        <f>COMPLEX(1,C11*$C$5*$C$4,"j")</f>
        <v>1+1.80300100119066j</v>
      </c>
      <c r="F11" t="str">
        <f>IMDIV(1,E11)</f>
        <v>0.23524913744215-0.424154430337435j</v>
      </c>
      <c r="G11" t="str">
        <f>COMPLEX(0,C11,"j")</f>
        <v>628.318530717959j</v>
      </c>
      <c r="H11" t="str">
        <f>IMDIV(1,G11)</f>
        <v>-0.00159154943091895j</v>
      </c>
      <c r="I11" t="str">
        <f>COMPLEX($C$7*$C$6/($C$2+$C$3),0,"j")</f>
        <v>0.445930880713489</v>
      </c>
      <c r="J11" t="str">
        <f>IMPRODUCT(I11,D11,H11,F11)</f>
        <v>0.00200687548784927-0.00432811955328596j</v>
      </c>
      <c r="K11" s="3">
        <f>20*LOG(IMABS(J11))</f>
        <v>-46.428245348586913</v>
      </c>
      <c r="L11">
        <f>DEGREES(IMARGUMENT(J11))</f>
        <v>-65.123646502054328</v>
      </c>
    </row>
    <row r="13" spans="2:12" x14ac:dyDescent="0.15">
      <c r="B13" t="s">
        <v>43</v>
      </c>
    </row>
    <row r="14" spans="2:12" x14ac:dyDescent="0.15">
      <c r="B14" t="s">
        <v>16</v>
      </c>
      <c r="C14" t="s">
        <v>17</v>
      </c>
      <c r="D14" t="s">
        <v>104</v>
      </c>
      <c r="E14" t="s">
        <v>105</v>
      </c>
      <c r="F14" t="s">
        <v>106</v>
      </c>
      <c r="G14" t="s">
        <v>25</v>
      </c>
      <c r="H14" t="s">
        <v>26</v>
      </c>
      <c r="I14" t="s">
        <v>19</v>
      </c>
      <c r="J14" t="s">
        <v>20</v>
      </c>
      <c r="K14" t="s">
        <v>21</v>
      </c>
      <c r="L14" t="s">
        <v>22</v>
      </c>
    </row>
    <row r="15" spans="2:12" x14ac:dyDescent="0.15">
      <c r="B15">
        <f>全体!D28</f>
        <v>15</v>
      </c>
      <c r="C15" s="2">
        <f>2*PI()*B15</f>
        <v>94.247779607693786</v>
      </c>
      <c r="D15" t="str">
        <f>COMPLEX(1,C15*$C$2*$C$4,"j")</f>
        <v>1+2.07345115136926j</v>
      </c>
      <c r="E15" t="str">
        <f>COMPLEX(1,C15*$C$5*$C$4,"j")</f>
        <v>1+0.2704501501786j</v>
      </c>
      <c r="F15" t="str">
        <f>IMDIV(1,E15)</f>
        <v>0.931842015096729-0.25201681292564j</v>
      </c>
      <c r="G15" t="str">
        <f>COMPLEX(0,C15,"j")</f>
        <v>94.2477796076938j</v>
      </c>
      <c r="H15" t="str">
        <f>IMDIV(1,G15)</f>
        <v>-0.0106103295394597j</v>
      </c>
      <c r="I15" t="str">
        <f>COMPLEX($C$7*$C$6/($C$2+$C$3),0,"j")</f>
        <v>0.445930880713489</v>
      </c>
      <c r="J15" t="str">
        <f>IMPRODUCT(I15,D15,H15,F15)</f>
        <v>0.00794940597436014-0.00688139163578798j</v>
      </c>
      <c r="K15" s="3">
        <f>20*LOG(IMABS(J15))</f>
        <v>-39.564545858347579</v>
      </c>
      <c r="L15">
        <f>DEGREES(IMARGUMENT(J15))</f>
        <v>-40.881053495649475</v>
      </c>
    </row>
    <row r="16" spans="2:12" x14ac:dyDescent="0.15">
      <c r="B16">
        <f>全体!E28</f>
        <v>30</v>
      </c>
      <c r="C16" s="2">
        <f t="shared" ref="C16" si="0">2*PI()*B16</f>
        <v>188.49555921538757</v>
      </c>
      <c r="D16" t="str">
        <f t="shared" ref="D16" si="1">COMPLEX(1,C16*$C$2*$C$4,"j")</f>
        <v>1+4.14690230273853j</v>
      </c>
      <c r="E16" t="str">
        <f t="shared" ref="E16" si="2">COMPLEX(1,C16*$C$5*$C$4,"j")</f>
        <v>1+0.540900300357199j</v>
      </c>
      <c r="F16" t="str">
        <f t="shared" ref="F16" si="3">IMDIV(1,E16)</f>
        <v>0.773650614405549-0.418467849703493j</v>
      </c>
      <c r="G16" t="str">
        <f t="shared" ref="G16" si="4">COMPLEX(0,C16,"j")</f>
        <v>188.495559215388j</v>
      </c>
      <c r="H16" t="str">
        <f t="shared" ref="H16" si="5">IMDIV(1,G16)</f>
        <v>-0.00530516476972983j</v>
      </c>
      <c r="I16" t="str">
        <f t="shared" ref="I16" si="6">COMPLEX($C$7*$C$6/($C$2+$C$3),0,"j")</f>
        <v>0.445930880713489</v>
      </c>
      <c r="J16" t="str">
        <f t="shared" ref="J16" si="7">IMPRODUCT(I16,D16,H16,F16)</f>
        <v>0.00659989860575717-0.00593562393627691j</v>
      </c>
      <c r="K16" s="3">
        <f t="shared" ref="K16" si="8">20*LOG(IMABS(J16))</f>
        <v>-41.035272838359262</v>
      </c>
      <c r="L16">
        <f t="shared" ref="L16" si="9">DEGREES(IMARGUMENT(J16))</f>
        <v>-41.966654609785877</v>
      </c>
    </row>
    <row r="18" spans="2:12" x14ac:dyDescent="0.15">
      <c r="B18" t="s">
        <v>16</v>
      </c>
      <c r="C18" t="s">
        <v>17</v>
      </c>
      <c r="D18" t="s">
        <v>104</v>
      </c>
      <c r="E18" t="s">
        <v>105</v>
      </c>
      <c r="F18" t="s">
        <v>106</v>
      </c>
      <c r="G18" t="s">
        <v>25</v>
      </c>
      <c r="H18" t="s">
        <v>26</v>
      </c>
      <c r="I18" t="s">
        <v>19</v>
      </c>
      <c r="J18" t="s">
        <v>20</v>
      </c>
      <c r="K18" t="s">
        <v>21</v>
      </c>
      <c r="L18" t="s">
        <v>22</v>
      </c>
    </row>
    <row r="19" spans="2:12" x14ac:dyDescent="0.15">
      <c r="B19">
        <v>1</v>
      </c>
      <c r="C19" s="2">
        <f>2*PI()*B19</f>
        <v>6.2831853071795862</v>
      </c>
      <c r="D19" t="str">
        <f>COMPLEX(1,C19*$C$2*$C$4,"j")</f>
        <v>1+0.138230076757951j</v>
      </c>
      <c r="E19" t="str">
        <f>COMPLEX(1,C19*$C$5*$C$4,"j")</f>
        <v>1+0.0180300100119066j</v>
      </c>
      <c r="F19" t="str">
        <f>IMDIV(1,E19)</f>
        <v>0.999675024382454-0.0180241506982686j</v>
      </c>
      <c r="G19" t="str">
        <f>COMPLEX(0,C19,"j")</f>
        <v>6.28318530717959j</v>
      </c>
      <c r="H19" t="str">
        <f>IMDIV(1,G19)</f>
        <v>-0.159154943091895j</v>
      </c>
      <c r="I19" t="str">
        <f>COMPLEX($C$7*$C$6/($C$2+$C$3),0,"j")</f>
        <v>0.445930880713489</v>
      </c>
      <c r="J19" t="str">
        <f>IMPRODUCT(I19,D19,H19,F19)</f>
        <v>0.00852807931226366-0.0711258652982564j</v>
      </c>
      <c r="K19" s="3">
        <f>20*LOG(IMABS(J19))</f>
        <v>-22.89745777400249</v>
      </c>
      <c r="L19">
        <f>DEGREES(IMARGUMENT(J19))</f>
        <v>-83.16280496323057</v>
      </c>
    </row>
    <row r="20" spans="2:12" x14ac:dyDescent="0.15">
      <c r="B20">
        <v>1.5</v>
      </c>
      <c r="C20" s="2">
        <f t="shared" ref="C20:C28" si="10">2*PI()*B20</f>
        <v>9.4247779607693793</v>
      </c>
      <c r="D20" t="str">
        <f t="shared" ref="D20:D28" si="11">COMPLEX(1,C20*$C$2*$C$4,"j")</f>
        <v>1+0.207345115136926j</v>
      </c>
      <c r="E20" t="str">
        <f t="shared" ref="E20:E28" si="12">COMPLEX(1,C20*$C$5*$C$4,"j")</f>
        <v>1+0.02704501501786j</v>
      </c>
      <c r="F20" t="str">
        <f t="shared" ref="F20:F28" si="13">IMDIV(1,E20)</f>
        <v>0.999269101765653-0.0270252478641356j</v>
      </c>
      <c r="G20" t="str">
        <f t="shared" ref="G20:G28" si="14">COMPLEX(0,C20,"j")</f>
        <v>9.42477796076938j</v>
      </c>
      <c r="H20" t="str">
        <f t="shared" ref="H20:H28" si="15">IMDIV(1,G20)</f>
        <v>-0.106103295394597j</v>
      </c>
      <c r="I20" t="str">
        <f t="shared" ref="I20:I37" si="16">COMPLEX($C$7*$C$6/($C$2+$C$3),0,"j")</f>
        <v>0.445930880713489</v>
      </c>
      <c r="J20" t="str">
        <f t="shared" ref="J20:J28" si="17">IMPRODUCT(I20,D20,H20,F20)</f>
        <v>0.00852461644664604-0.0475452843417372j</v>
      </c>
      <c r="K20" s="3">
        <f t="shared" ref="K20:K28" si="18">20*LOG(IMABS(J20))</f>
        <v>-26.320437234376346</v>
      </c>
      <c r="L20">
        <f t="shared" ref="L20:L28" si="19">DEGREES(IMARGUMENT(J20))</f>
        <v>-79.835174803562609</v>
      </c>
    </row>
    <row r="21" spans="2:12" x14ac:dyDescent="0.15">
      <c r="B21">
        <v>2</v>
      </c>
      <c r="C21" s="2">
        <f t="shared" si="10"/>
        <v>12.566370614359172</v>
      </c>
      <c r="D21" t="str">
        <f t="shared" si="11"/>
        <v>1+0.276460153515902j</v>
      </c>
      <c r="E21" t="str">
        <f t="shared" si="12"/>
        <v>1+0.0360600200238133j</v>
      </c>
      <c r="F21" t="str">
        <f t="shared" si="13"/>
        <v>0.998701363605309-0.0360131911694171j</v>
      </c>
      <c r="G21" t="str">
        <f t="shared" si="14"/>
        <v>12.5663706143592j</v>
      </c>
      <c r="H21" t="str">
        <f t="shared" si="15"/>
        <v>-0.0795774715459475j</v>
      </c>
      <c r="I21" t="str">
        <f t="shared" si="16"/>
        <v>0.445930880713489</v>
      </c>
      <c r="J21" t="str">
        <f t="shared" si="17"/>
        <v>0.00851977315663487-0.0357932751620636j</v>
      </c>
      <c r="K21" s="3">
        <f t="shared" si="18"/>
        <v>-28.684631082763637</v>
      </c>
      <c r="L21">
        <f t="shared" si="19"/>
        <v>-76.611191324643315</v>
      </c>
    </row>
    <row r="22" spans="2:12" x14ac:dyDescent="0.15">
      <c r="B22">
        <v>3</v>
      </c>
      <c r="C22" s="2">
        <f t="shared" si="10"/>
        <v>18.849555921538759</v>
      </c>
      <c r="D22" t="str">
        <f t="shared" si="11"/>
        <v>1+0.414690230273853j</v>
      </c>
      <c r="E22" t="str">
        <f t="shared" si="12"/>
        <v>1+0.0540900300357199j</v>
      </c>
      <c r="F22" t="str">
        <f t="shared" si="13"/>
        <v>0.997082803583742-0.0539322387939444j</v>
      </c>
      <c r="G22" t="str">
        <f t="shared" si="14"/>
        <v>18.8495559215388j</v>
      </c>
      <c r="H22" t="str">
        <f t="shared" si="15"/>
        <v>-0.0530516476972983j</v>
      </c>
      <c r="I22" t="str">
        <f t="shared" si="16"/>
        <v>0.445930880713489</v>
      </c>
      <c r="J22" t="str">
        <f t="shared" si="17"/>
        <v>0.00850596546123494-0.024117455908239j</v>
      </c>
      <c r="K22" s="3">
        <f t="shared" si="18"/>
        <v>-31.844201745620374</v>
      </c>
      <c r="L22">
        <f t="shared" si="19"/>
        <v>-70.572805803965736</v>
      </c>
    </row>
    <row r="23" spans="2:12" x14ac:dyDescent="0.15">
      <c r="B23">
        <v>5</v>
      </c>
      <c r="C23" s="2">
        <f t="shared" si="10"/>
        <v>31.415926535897931</v>
      </c>
      <c r="D23" t="str">
        <f t="shared" si="11"/>
        <v>1+0.691150383789754j</v>
      </c>
      <c r="E23" t="str">
        <f t="shared" si="12"/>
        <v>1+0.0901500500595332j</v>
      </c>
      <c r="F23" t="str">
        <f t="shared" si="13"/>
        <v>0.991938484663548-0.0894233040483964j</v>
      </c>
      <c r="G23" t="str">
        <f t="shared" si="14"/>
        <v>31.4159265358979j</v>
      </c>
      <c r="H23" t="str">
        <f t="shared" si="15"/>
        <v>-0.0318309886183791j</v>
      </c>
      <c r="I23" t="str">
        <f t="shared" si="16"/>
        <v>0.445930880713489</v>
      </c>
      <c r="J23" t="str">
        <f t="shared" si="17"/>
        <v>0.00846208003978403-0.0149572777277691j</v>
      </c>
      <c r="K23" s="3">
        <f t="shared" si="18"/>
        <v>-35.296969115006732</v>
      </c>
      <c r="L23">
        <f t="shared" si="19"/>
        <v>-60.500988163551604</v>
      </c>
    </row>
    <row r="24" spans="2:12" x14ac:dyDescent="0.15">
      <c r="B24">
        <v>7</v>
      </c>
      <c r="C24" s="2">
        <f t="shared" si="10"/>
        <v>43.982297150257104</v>
      </c>
      <c r="D24" t="str">
        <f t="shared" si="11"/>
        <v>1+0.967610537305656j</v>
      </c>
      <c r="E24" t="str">
        <f t="shared" si="12"/>
        <v>1+0.126210070083346j</v>
      </c>
      <c r="F24" t="str">
        <f t="shared" si="13"/>
        <v>0.984320772341419-0.124231193661704j</v>
      </c>
      <c r="G24" t="str">
        <f t="shared" si="14"/>
        <v>43.9822971502571j</v>
      </c>
      <c r="H24" t="str">
        <f t="shared" si="15"/>
        <v>-0.0227364204416993j</v>
      </c>
      <c r="I24" t="str">
        <f t="shared" si="16"/>
        <v>0.445930880713489</v>
      </c>
      <c r="J24" t="str">
        <f t="shared" si="17"/>
        <v>0.00839709446619598-0.0111986698729142j</v>
      </c>
      <c r="K24" s="3">
        <f t="shared" si="18"/>
        <v>-37.079181192115186</v>
      </c>
      <c r="L24">
        <f t="shared" si="19"/>
        <v>-53.136350282630829</v>
      </c>
    </row>
    <row r="25" spans="2:12" x14ac:dyDescent="0.15">
      <c r="B25">
        <v>10</v>
      </c>
      <c r="C25" s="2">
        <f t="shared" si="10"/>
        <v>62.831853071795862</v>
      </c>
      <c r="D25" t="str">
        <f t="shared" si="11"/>
        <v>1+1.38230076757951j</v>
      </c>
      <c r="E25" t="str">
        <f t="shared" si="12"/>
        <v>1+0.180300100119066j</v>
      </c>
      <c r="F25" t="str">
        <f t="shared" si="13"/>
        <v>0.968515379897645-0.174623419962401j</v>
      </c>
      <c r="G25" t="str">
        <f t="shared" si="14"/>
        <v>62.8318530717959j</v>
      </c>
      <c r="H25" t="str">
        <f t="shared" si="15"/>
        <v>-0.0159154943091895j</v>
      </c>
      <c r="I25" t="str">
        <f t="shared" si="16"/>
        <v>0.445930880713489</v>
      </c>
      <c r="J25" t="str">
        <f t="shared" si="17"/>
        <v>0.00826226100828778-0.00858689688129154j</v>
      </c>
      <c r="K25" s="3">
        <f t="shared" si="18"/>
        <v>-38.477124048703601</v>
      </c>
      <c r="L25">
        <f t="shared" si="19"/>
        <v>-46.103791917162184</v>
      </c>
    </row>
    <row r="26" spans="2:12" x14ac:dyDescent="0.15">
      <c r="B26">
        <v>15</v>
      </c>
      <c r="C26" s="2">
        <f t="shared" si="10"/>
        <v>94.247779607693786</v>
      </c>
      <c r="D26" t="str">
        <f t="shared" si="11"/>
        <v>1+2.07345115136926j</v>
      </c>
      <c r="E26" t="str">
        <f t="shared" si="12"/>
        <v>1+0.2704501501786j</v>
      </c>
      <c r="F26" t="str">
        <f t="shared" si="13"/>
        <v>0.931842015096729-0.25201681292564j</v>
      </c>
      <c r="G26" t="str">
        <f t="shared" si="14"/>
        <v>94.2477796076938j</v>
      </c>
      <c r="H26" t="str">
        <f t="shared" si="15"/>
        <v>-0.0106103295394597j</v>
      </c>
      <c r="I26" t="str">
        <f t="shared" si="16"/>
        <v>0.445930880713489</v>
      </c>
      <c r="J26" t="str">
        <f t="shared" si="17"/>
        <v>0.00794940597436014-0.00688139163578798j</v>
      </c>
      <c r="K26" s="3">
        <f t="shared" si="18"/>
        <v>-39.564545858347579</v>
      </c>
      <c r="L26">
        <f t="shared" si="19"/>
        <v>-40.881053495649475</v>
      </c>
    </row>
    <row r="27" spans="2:12" x14ac:dyDescent="0.15">
      <c r="B27">
        <v>20</v>
      </c>
      <c r="C27" s="2">
        <f t="shared" si="10"/>
        <v>125.66370614359172</v>
      </c>
      <c r="D27" t="str">
        <f t="shared" si="11"/>
        <v>1+2.76460153515902j</v>
      </c>
      <c r="E27" t="str">
        <f t="shared" si="12"/>
        <v>1+0.360600200238133j</v>
      </c>
      <c r="F27" t="str">
        <f t="shared" si="13"/>
        <v>0.88493029722232-0.319106042375159j</v>
      </c>
      <c r="G27" t="str">
        <f t="shared" si="14"/>
        <v>125.663706143592j</v>
      </c>
      <c r="H27" t="str">
        <f t="shared" si="15"/>
        <v>-0.00795774715459475j</v>
      </c>
      <c r="I27" t="str">
        <f t="shared" si="16"/>
        <v>0.445930880713489</v>
      </c>
      <c r="J27" t="str">
        <f t="shared" si="17"/>
        <v>0.00754920906941631-0.00627085149921475j</v>
      </c>
      <c r="K27" s="3">
        <f t="shared" si="18"/>
        <v>-40.163099664660905</v>
      </c>
      <c r="L27">
        <f t="shared" si="19"/>
        <v>-39.715170819324676</v>
      </c>
    </row>
    <row r="28" spans="2:12" x14ac:dyDescent="0.15">
      <c r="B28">
        <v>30</v>
      </c>
      <c r="C28" s="2">
        <f t="shared" si="10"/>
        <v>188.49555921538757</v>
      </c>
      <c r="D28" t="str">
        <f t="shared" si="11"/>
        <v>1+4.14690230273853j</v>
      </c>
      <c r="E28" t="str">
        <f t="shared" si="12"/>
        <v>1+0.540900300357199j</v>
      </c>
      <c r="F28" t="str">
        <f t="shared" si="13"/>
        <v>0.773650614405549-0.418467849703493j</v>
      </c>
      <c r="G28" t="str">
        <f t="shared" si="14"/>
        <v>188.495559215388j</v>
      </c>
      <c r="H28" t="str">
        <f t="shared" si="15"/>
        <v>-0.00530516476972983j</v>
      </c>
      <c r="I28" t="str">
        <f t="shared" si="16"/>
        <v>0.445930880713489</v>
      </c>
      <c r="J28" t="str">
        <f t="shared" si="17"/>
        <v>0.00659989860575717-0.00593562393627691j</v>
      </c>
      <c r="K28" s="3">
        <f t="shared" si="18"/>
        <v>-41.035272838359262</v>
      </c>
      <c r="L28">
        <f t="shared" si="19"/>
        <v>-41.966654609785877</v>
      </c>
    </row>
    <row r="29" spans="2:12" x14ac:dyDescent="0.15">
      <c r="B29">
        <v>50</v>
      </c>
      <c r="C29" s="2">
        <f t="shared" ref="C29:C37" si="20">2*PI()*B29</f>
        <v>314.15926535897933</v>
      </c>
      <c r="D29" t="str">
        <f t="shared" ref="D29:D37" si="21">COMPLEX(1,C29*$C$2*$C$4,"j")</f>
        <v>1+6.91150383789754j</v>
      </c>
      <c r="E29" t="str">
        <f t="shared" ref="E29:E37" si="22">COMPLEX(1,C29*$C$5*$C$4,"j")</f>
        <v>1+0.901500500595332j</v>
      </c>
      <c r="F29" t="str">
        <f t="shared" ref="F29:F37" si="23">IMDIV(1,E29)</f>
        <v>0.551662305314703-0.497323844400779j</v>
      </c>
      <c r="G29" t="str">
        <f t="shared" ref="G29:G37" si="24">COMPLEX(0,C29,"j")</f>
        <v>314.159265358979j</v>
      </c>
      <c r="H29" t="str">
        <f t="shared" ref="H29:H37" si="25">IMDIV(1,G29)</f>
        <v>-0.00318309886183791j</v>
      </c>
      <c r="I29" t="str">
        <f t="shared" si="16"/>
        <v>0.445930880713489</v>
      </c>
      <c r="J29" t="str">
        <f t="shared" ref="J29:J37" si="26">IMPRODUCT(I29,D29,H29,F29)</f>
        <v>0.00470614927707759-0.00566203800801928j</v>
      </c>
      <c r="K29" s="3">
        <f t="shared" ref="K29:K37" si="27">20*LOG(IMABS(J29))</f>
        <v>-42.65948509735945</v>
      </c>
      <c r="L29">
        <f t="shared" ref="L29:L37" si="28">DEGREES(IMARGUMENT(J29))</f>
        <v>-50.26745915125592</v>
      </c>
    </row>
    <row r="30" spans="2:12" x14ac:dyDescent="0.15">
      <c r="B30">
        <v>70</v>
      </c>
      <c r="C30" s="2">
        <f t="shared" si="20"/>
        <v>439.82297150257102</v>
      </c>
      <c r="D30" t="str">
        <f t="shared" si="21"/>
        <v>1+9.67610537305656j</v>
      </c>
      <c r="E30" t="str">
        <f t="shared" si="22"/>
        <v>1+1.26210070083346j</v>
      </c>
      <c r="F30" t="str">
        <f t="shared" si="23"/>
        <v>0.385668827292161-0.486752897215056j</v>
      </c>
      <c r="G30" t="str">
        <f t="shared" si="24"/>
        <v>439.822971502571j</v>
      </c>
      <c r="H30" t="str">
        <f t="shared" si="25"/>
        <v>-0.00227364204416993j</v>
      </c>
      <c r="I30" t="str">
        <f t="shared" si="16"/>
        <v>0.445930880713489</v>
      </c>
      <c r="J30" t="str">
        <f t="shared" si="26"/>
        <v>0.00329008354434686-0.00516630394630474j</v>
      </c>
      <c r="K30" s="3">
        <f t="shared" si="27"/>
        <v>-44.257910414937641</v>
      </c>
      <c r="L30">
        <f t="shared" si="28"/>
        <v>-57.509586154073439</v>
      </c>
    </row>
    <row r="31" spans="2:12" x14ac:dyDescent="0.15">
      <c r="B31">
        <v>100</v>
      </c>
      <c r="C31" s="2">
        <f t="shared" si="20"/>
        <v>628.31853071795865</v>
      </c>
      <c r="D31" t="str">
        <f t="shared" si="21"/>
        <v>1+13.8230076757951j</v>
      </c>
      <c r="E31" t="str">
        <f t="shared" si="22"/>
        <v>1+1.80300100119066j</v>
      </c>
      <c r="F31" t="str">
        <f t="shared" si="23"/>
        <v>0.23524913744215-0.424154430337435j</v>
      </c>
      <c r="G31" t="str">
        <f t="shared" si="24"/>
        <v>628.318530717959j</v>
      </c>
      <c r="H31" t="str">
        <f t="shared" si="25"/>
        <v>-0.00159154943091895j</v>
      </c>
      <c r="I31" t="str">
        <f t="shared" si="16"/>
        <v>0.445930880713489</v>
      </c>
      <c r="J31" t="str">
        <f t="shared" si="26"/>
        <v>0.00200687548784927-0.00432811955328596j</v>
      </c>
      <c r="K31" s="3">
        <f t="shared" si="27"/>
        <v>-46.428245348586913</v>
      </c>
      <c r="L31">
        <f t="shared" si="28"/>
        <v>-65.123646502054328</v>
      </c>
    </row>
    <row r="32" spans="2:12" x14ac:dyDescent="0.15">
      <c r="B32">
        <v>150</v>
      </c>
      <c r="C32" s="2">
        <f t="shared" si="20"/>
        <v>942.47779607693792</v>
      </c>
      <c r="D32" t="str">
        <f t="shared" si="21"/>
        <v>1+20.7345115136926j</v>
      </c>
      <c r="E32" t="str">
        <f t="shared" si="22"/>
        <v>1+2.704501501786j</v>
      </c>
      <c r="F32" t="str">
        <f t="shared" si="23"/>
        <v>0.120274296986854-0.325282016827202j</v>
      </c>
      <c r="G32" t="str">
        <f t="shared" si="24"/>
        <v>942.477796076938j</v>
      </c>
      <c r="H32" t="str">
        <f t="shared" si="25"/>
        <v>-0.00106103295394597j</v>
      </c>
      <c r="I32" t="str">
        <f t="shared" si="16"/>
        <v>0.445930880713489</v>
      </c>
      <c r="J32" t="str">
        <f t="shared" si="26"/>
        <v>0.00102604218262257-0.00324807998341769j</v>
      </c>
      <c r="K32" s="3">
        <f t="shared" si="27"/>
        <v>-49.35437712532454</v>
      </c>
      <c r="L32">
        <f t="shared" si="28"/>
        <v>-72.469094946541773</v>
      </c>
    </row>
    <row r="33" spans="2:12" x14ac:dyDescent="0.15">
      <c r="B33">
        <v>200</v>
      </c>
      <c r="C33" s="2">
        <f t="shared" si="20"/>
        <v>1256.6370614359173</v>
      </c>
      <c r="D33" t="str">
        <f t="shared" si="21"/>
        <v>1+27.6460153515902j</v>
      </c>
      <c r="E33" t="str">
        <f t="shared" si="22"/>
        <v>1+3.60600200238133j</v>
      </c>
      <c r="F33" t="str">
        <f t="shared" si="23"/>
        <v>0.0714119913944684-0.257511783962491j</v>
      </c>
      <c r="G33" t="str">
        <f t="shared" si="24"/>
        <v>1256.63706143592j</v>
      </c>
      <c r="H33" t="str">
        <f t="shared" si="25"/>
        <v>-0.000795774715459475j</v>
      </c>
      <c r="I33" t="str">
        <f t="shared" si="16"/>
        <v>0.445930880713489</v>
      </c>
      <c r="J33" t="str">
        <f t="shared" si="26"/>
        <v>0.000609205103263362-0.00255165534194297j</v>
      </c>
      <c r="K33" s="3">
        <f t="shared" si="27"/>
        <v>-51.622805456731328</v>
      </c>
      <c r="L33">
        <f t="shared" si="28"/>
        <v>-76.572060443827098</v>
      </c>
    </row>
    <row r="34" spans="2:12" x14ac:dyDescent="0.15">
      <c r="B34">
        <v>300</v>
      </c>
      <c r="C34" s="2">
        <f t="shared" si="20"/>
        <v>1884.9555921538758</v>
      </c>
      <c r="D34" t="str">
        <f t="shared" si="21"/>
        <v>1+41.4690230273853j</v>
      </c>
      <c r="E34" t="str">
        <f t="shared" si="22"/>
        <v>1+5.40900300357199j</v>
      </c>
      <c r="F34" t="str">
        <f t="shared" si="23"/>
        <v>0.0330498608292798-0.178766796493211j</v>
      </c>
      <c r="G34" t="str">
        <f t="shared" si="24"/>
        <v>1884.95559215388j</v>
      </c>
      <c r="H34" t="str">
        <f t="shared" si="25"/>
        <v>-0.000530516476972983j</v>
      </c>
      <c r="I34" t="str">
        <f t="shared" si="16"/>
        <v>0.445930880713489</v>
      </c>
      <c r="J34" t="str">
        <f t="shared" si="26"/>
        <v>0.000281943459161128-0.0017616066972496j</v>
      </c>
      <c r="K34" s="3">
        <f t="shared" si="27"/>
        <v>-54.971974363503655</v>
      </c>
      <c r="L34">
        <f t="shared" si="28"/>
        <v>-80.906983500613862</v>
      </c>
    </row>
    <row r="35" spans="2:12" x14ac:dyDescent="0.15">
      <c r="B35">
        <v>500</v>
      </c>
      <c r="C35" s="2">
        <f t="shared" si="20"/>
        <v>3141.5926535897929</v>
      </c>
      <c r="D35" t="str">
        <f t="shared" si="21"/>
        <v>1+69.1150383789754j</v>
      </c>
      <c r="E35" t="str">
        <f t="shared" si="22"/>
        <v>1+9.01500500595332j</v>
      </c>
      <c r="F35" t="str">
        <f t="shared" si="23"/>
        <v>0.0121550524860849-0.10957785900968j</v>
      </c>
      <c r="G35" t="str">
        <f t="shared" si="24"/>
        <v>3141.59265358979j</v>
      </c>
      <c r="H35" t="str">
        <f t="shared" si="25"/>
        <v>-0.000318309886183791j</v>
      </c>
      <c r="I35" t="str">
        <f t="shared" si="16"/>
        <v>0.445930880713489</v>
      </c>
      <c r="J35" t="str">
        <f t="shared" si="26"/>
        <v>0.000103692949326302-0.00107673666514442j</v>
      </c>
      <c r="K35" s="3">
        <f t="shared" si="27"/>
        <v>-59.317717970490179</v>
      </c>
      <c r="L35">
        <f t="shared" si="28"/>
        <v>-84.499209111137432</v>
      </c>
    </row>
    <row r="36" spans="2:12" x14ac:dyDescent="0.15">
      <c r="B36">
        <v>700</v>
      </c>
      <c r="C36" s="2">
        <f t="shared" si="20"/>
        <v>4398.22971502571</v>
      </c>
      <c r="D36" t="str">
        <f t="shared" si="21"/>
        <v>1+96.7610537305656j</v>
      </c>
      <c r="E36" t="str">
        <f t="shared" si="22"/>
        <v>1+12.6210070083346j</v>
      </c>
      <c r="F36" t="str">
        <f t="shared" si="23"/>
        <v>0.00623869945748036-0.0787386695757529j</v>
      </c>
      <c r="G36" t="str">
        <f t="shared" si="24"/>
        <v>4398.22971502571j</v>
      </c>
      <c r="H36" t="str">
        <f t="shared" si="25"/>
        <v>-0.000227364204416993j</v>
      </c>
      <c r="I36" t="str">
        <f t="shared" si="16"/>
        <v>0.445930880713489</v>
      </c>
      <c r="J36" t="str">
        <f t="shared" si="26"/>
        <v>0.0000532214194424187-0.000773096627694674j</v>
      </c>
      <c r="K36" s="3">
        <f t="shared" si="27"/>
        <v>-62.214790941968502</v>
      </c>
      <c r="L36">
        <f t="shared" si="28"/>
        <v>-86.061864619679938</v>
      </c>
    </row>
    <row r="37" spans="2:12" x14ac:dyDescent="0.15">
      <c r="B37">
        <v>1000</v>
      </c>
      <c r="C37" s="2">
        <f t="shared" si="20"/>
        <v>6283.1853071795858</v>
      </c>
      <c r="D37" t="str">
        <f t="shared" si="21"/>
        <v>1+138.230076757951j</v>
      </c>
      <c r="E37" t="str">
        <f t="shared" si="22"/>
        <v>1+18.0300100119066j</v>
      </c>
      <c r="F37" t="str">
        <f t="shared" si="23"/>
        <v>0.00306672023054302-0.0552929964604071j</v>
      </c>
      <c r="G37" t="str">
        <f t="shared" si="24"/>
        <v>6283.18530717959j</v>
      </c>
      <c r="H37" t="str">
        <f t="shared" si="25"/>
        <v>-0.000159154943091895j</v>
      </c>
      <c r="I37" t="str">
        <f t="shared" si="16"/>
        <v>0.445930880713489</v>
      </c>
      <c r="J37" t="str">
        <f t="shared" si="26"/>
        <v>0.0000261617352806733-0.000542668452982263j</v>
      </c>
      <c r="K37" s="3">
        <f t="shared" si="27"/>
        <v>-65.299226552848367</v>
      </c>
      <c r="L37">
        <f t="shared" si="28"/>
        <v>-87.23994022803295</v>
      </c>
    </row>
    <row r="38" spans="2:12" x14ac:dyDescent="0.15">
      <c r="C38" s="2"/>
      <c r="K38" s="3"/>
    </row>
    <row r="39" spans="2:12" x14ac:dyDescent="0.15">
      <c r="C39" s="2"/>
      <c r="K39" s="3"/>
    </row>
  </sheetData>
  <phoneticPr fontId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3:Q47"/>
  <sheetViews>
    <sheetView topLeftCell="A28" zoomScale="124" zoomScaleNormal="124" workbookViewId="0"/>
  </sheetViews>
  <sheetFormatPr defaultRowHeight="13.5" x14ac:dyDescent="0.15"/>
  <sheetData>
    <row r="3" spans="2:11" x14ac:dyDescent="0.15">
      <c r="C3" t="s">
        <v>27</v>
      </c>
      <c r="E3" t="s">
        <v>29</v>
      </c>
      <c r="G3" t="s">
        <v>30</v>
      </c>
      <c r="J3" s="20" t="s">
        <v>40</v>
      </c>
      <c r="K3" s="20"/>
    </row>
    <row r="4" spans="2:11" x14ac:dyDescent="0.15">
      <c r="B4" t="s">
        <v>16</v>
      </c>
      <c r="C4" t="s">
        <v>20</v>
      </c>
      <c r="D4" t="s">
        <v>28</v>
      </c>
      <c r="E4" t="s">
        <v>20</v>
      </c>
      <c r="F4" t="s">
        <v>28</v>
      </c>
      <c r="G4" t="s">
        <v>20</v>
      </c>
      <c r="H4" t="s">
        <v>28</v>
      </c>
      <c r="I4" t="s">
        <v>28</v>
      </c>
      <c r="K4" t="s">
        <v>39</v>
      </c>
    </row>
    <row r="5" spans="2:11" x14ac:dyDescent="0.15">
      <c r="B5">
        <v>1</v>
      </c>
      <c r="C5">
        <f>メイン回路!G18</f>
        <v>62.717168576352691</v>
      </c>
      <c r="D5">
        <f>メイン回路!H18</f>
        <v>-46.256984461667884</v>
      </c>
      <c r="E5">
        <f>amp!K19</f>
        <v>-22.89745777400249</v>
      </c>
      <c r="F5">
        <f>amp!L19</f>
        <v>-83.16280496323057</v>
      </c>
      <c r="G5">
        <f>C5+E5</f>
        <v>39.819710802350201</v>
      </c>
      <c r="H5">
        <f>D5+F5</f>
        <v>-129.41978942489845</v>
      </c>
      <c r="I5">
        <f>H5+180</f>
        <v>50.580210575101546</v>
      </c>
      <c r="J5">
        <f>-G5</f>
        <v>-39.819710802350201</v>
      </c>
      <c r="K5">
        <f>B5</f>
        <v>1</v>
      </c>
    </row>
    <row r="6" spans="2:11" x14ac:dyDescent="0.15">
      <c r="B6">
        <v>1.5</v>
      </c>
      <c r="C6">
        <f>メイン回路!G19</f>
        <v>60.535979001608254</v>
      </c>
      <c r="D6">
        <f>メイン回路!H19</f>
        <v>-57.460545694999787</v>
      </c>
      <c r="E6">
        <f>amp!K20</f>
        <v>-26.320437234376346</v>
      </c>
      <c r="F6">
        <f>amp!L20</f>
        <v>-79.835174803562609</v>
      </c>
      <c r="G6">
        <f t="shared" ref="G6:G23" si="0">C6+E6</f>
        <v>34.215541767231912</v>
      </c>
      <c r="H6">
        <f t="shared" ref="H6:H23" si="1">D6+F6</f>
        <v>-137.29572049856239</v>
      </c>
      <c r="I6">
        <f t="shared" ref="I6:I23" si="2">H6+180</f>
        <v>42.704279501437611</v>
      </c>
      <c r="J6">
        <f t="shared" ref="J6:J23" si="3">-G6</f>
        <v>-34.215541767231912</v>
      </c>
      <c r="K6">
        <f t="shared" ref="K6:K23" si="4">B6</f>
        <v>1.5</v>
      </c>
    </row>
    <row r="7" spans="2:11" x14ac:dyDescent="0.15">
      <c r="B7">
        <v>2</v>
      </c>
      <c r="C7">
        <f>メイン回路!G20</f>
        <v>58.624949985161237</v>
      </c>
      <c r="D7">
        <f>メイン回路!H20</f>
        <v>-64.42752959057475</v>
      </c>
      <c r="E7">
        <f>amp!K21</f>
        <v>-28.684631082763637</v>
      </c>
      <c r="F7">
        <f>amp!L21</f>
        <v>-76.611191324643315</v>
      </c>
      <c r="G7">
        <f t="shared" si="0"/>
        <v>29.9403189023976</v>
      </c>
      <c r="H7">
        <f t="shared" si="1"/>
        <v>-141.03872091521805</v>
      </c>
      <c r="I7">
        <f t="shared" si="2"/>
        <v>38.96127908478195</v>
      </c>
      <c r="J7">
        <f t="shared" si="3"/>
        <v>-29.9403189023976</v>
      </c>
      <c r="K7">
        <f t="shared" si="4"/>
        <v>2</v>
      </c>
    </row>
    <row r="8" spans="2:11" x14ac:dyDescent="0.15">
      <c r="B8">
        <v>3</v>
      </c>
      <c r="C8">
        <f>メイン回路!G21</f>
        <v>55.577685867719985</v>
      </c>
      <c r="D8">
        <f>メイン回路!H21</f>
        <v>-72.306309023128946</v>
      </c>
      <c r="E8">
        <f>amp!K22</f>
        <v>-31.844201745620374</v>
      </c>
      <c r="F8">
        <f>amp!L22</f>
        <v>-70.572805803965736</v>
      </c>
      <c r="G8">
        <f t="shared" si="0"/>
        <v>23.733484122099611</v>
      </c>
      <c r="H8">
        <f t="shared" si="1"/>
        <v>-142.87911482709467</v>
      </c>
      <c r="I8">
        <f t="shared" si="2"/>
        <v>37.120885172905332</v>
      </c>
      <c r="J8">
        <f t="shared" si="3"/>
        <v>-23.733484122099611</v>
      </c>
      <c r="K8">
        <f t="shared" si="4"/>
        <v>3</v>
      </c>
    </row>
    <row r="9" spans="2:11" x14ac:dyDescent="0.15">
      <c r="B9">
        <v>5</v>
      </c>
      <c r="C9">
        <f>メイン回路!G22</f>
        <v>51.405360604924859</v>
      </c>
      <c r="D9">
        <f>メイン回路!H22</f>
        <v>-79.163990708138627</v>
      </c>
      <c r="E9">
        <f>amp!K23</f>
        <v>-35.296969115006732</v>
      </c>
      <c r="F9">
        <f>amp!L23</f>
        <v>-60.500988163551604</v>
      </c>
      <c r="G9">
        <f t="shared" si="0"/>
        <v>16.108391489918127</v>
      </c>
      <c r="H9">
        <f t="shared" si="1"/>
        <v>-139.66497887169024</v>
      </c>
      <c r="I9">
        <f t="shared" si="2"/>
        <v>40.335021128309762</v>
      </c>
      <c r="J9">
        <f t="shared" si="3"/>
        <v>-16.108391489918127</v>
      </c>
      <c r="K9">
        <f t="shared" si="4"/>
        <v>5</v>
      </c>
    </row>
    <row r="10" spans="2:11" x14ac:dyDescent="0.15">
      <c r="B10">
        <v>7</v>
      </c>
      <c r="C10">
        <f>メイン回路!G23</f>
        <v>48.558639359599383</v>
      </c>
      <c r="D10">
        <f>メイン回路!H23</f>
        <v>-82.214643670075063</v>
      </c>
      <c r="E10">
        <f>amp!K24</f>
        <v>-37.079181192115186</v>
      </c>
      <c r="F10">
        <f>amp!L24</f>
        <v>-53.136350282630829</v>
      </c>
      <c r="G10">
        <f t="shared" si="0"/>
        <v>11.479458167484196</v>
      </c>
      <c r="H10">
        <f t="shared" si="1"/>
        <v>-135.35099395270589</v>
      </c>
      <c r="I10">
        <f t="shared" si="2"/>
        <v>44.649006047294108</v>
      </c>
      <c r="J10">
        <f t="shared" si="3"/>
        <v>-11.479458167484196</v>
      </c>
      <c r="K10">
        <f t="shared" si="4"/>
        <v>7</v>
      </c>
    </row>
    <row r="11" spans="2:11" x14ac:dyDescent="0.15">
      <c r="B11">
        <v>10</v>
      </c>
      <c r="C11">
        <f>メイン回路!G24</f>
        <v>45.501435094143439</v>
      </c>
      <c r="D11">
        <f>メイン回路!H24</f>
        <v>-84.533111625623533</v>
      </c>
      <c r="E11">
        <f>amp!K25</f>
        <v>-38.477124048703601</v>
      </c>
      <c r="F11">
        <f>amp!L25</f>
        <v>-46.103791917162184</v>
      </c>
      <c r="G11">
        <f t="shared" si="0"/>
        <v>7.0243110454398376</v>
      </c>
      <c r="H11">
        <f t="shared" si="1"/>
        <v>-130.63690354278572</v>
      </c>
      <c r="I11">
        <f t="shared" si="2"/>
        <v>49.363096457214283</v>
      </c>
      <c r="J11">
        <f t="shared" si="3"/>
        <v>-7.0243110454398376</v>
      </c>
      <c r="K11">
        <f t="shared" si="4"/>
        <v>10</v>
      </c>
    </row>
    <row r="12" spans="2:11" x14ac:dyDescent="0.15">
      <c r="B12">
        <v>15</v>
      </c>
      <c r="C12">
        <f>メイン回路!G25</f>
        <v>42.001564530501014</v>
      </c>
      <c r="D12">
        <f>メイン回路!H25</f>
        <v>-86.349255741938535</v>
      </c>
      <c r="E12">
        <f>amp!K26</f>
        <v>-39.564545858347579</v>
      </c>
      <c r="F12">
        <f>amp!L26</f>
        <v>-40.881053495649475</v>
      </c>
      <c r="G12">
        <f t="shared" si="0"/>
        <v>2.4370186721534353</v>
      </c>
      <c r="H12">
        <f t="shared" si="1"/>
        <v>-127.23030923758802</v>
      </c>
      <c r="I12">
        <f t="shared" si="2"/>
        <v>52.769690762411983</v>
      </c>
      <c r="J12">
        <f t="shared" si="3"/>
        <v>-2.4370186721534353</v>
      </c>
      <c r="K12">
        <f t="shared" si="4"/>
        <v>15</v>
      </c>
    </row>
    <row r="13" spans="2:11" x14ac:dyDescent="0.15">
      <c r="B13">
        <v>20</v>
      </c>
      <c r="C13">
        <f>メイン回路!G26</f>
        <v>39.510500210173099</v>
      </c>
      <c r="D13">
        <f>メイン回路!H26</f>
        <v>-87.26032026876112</v>
      </c>
      <c r="E13">
        <f>amp!K27</f>
        <v>-40.163099664660905</v>
      </c>
      <c r="F13">
        <f>amp!L27</f>
        <v>-39.715170819324676</v>
      </c>
      <c r="G13">
        <f t="shared" si="0"/>
        <v>-0.65259945448780599</v>
      </c>
      <c r="H13">
        <f t="shared" si="1"/>
        <v>-126.97549108808579</v>
      </c>
      <c r="I13">
        <f t="shared" si="2"/>
        <v>53.024508911914211</v>
      </c>
      <c r="J13">
        <f t="shared" si="3"/>
        <v>0.65259945448780599</v>
      </c>
      <c r="K13">
        <f t="shared" si="4"/>
        <v>20</v>
      </c>
    </row>
    <row r="14" spans="2:11" x14ac:dyDescent="0.15">
      <c r="B14">
        <v>30</v>
      </c>
      <c r="C14">
        <f>メイン回路!G27</f>
        <v>35.994190859153754</v>
      </c>
      <c r="D14">
        <f>メイン回路!H27</f>
        <v>-88.172773272550316</v>
      </c>
      <c r="E14">
        <f>amp!K28</f>
        <v>-41.035272838359262</v>
      </c>
      <c r="F14">
        <f>amp!L28</f>
        <v>-41.966654609785877</v>
      </c>
      <c r="G14">
        <f t="shared" si="0"/>
        <v>-5.0410819792055079</v>
      </c>
      <c r="H14">
        <f t="shared" si="1"/>
        <v>-130.13942788233618</v>
      </c>
      <c r="I14">
        <f t="shared" si="2"/>
        <v>49.860572117663821</v>
      </c>
      <c r="J14">
        <f t="shared" si="3"/>
        <v>5.0410819792055079</v>
      </c>
      <c r="K14">
        <f t="shared" si="4"/>
        <v>30</v>
      </c>
    </row>
    <row r="15" spans="2:11" x14ac:dyDescent="0.15">
      <c r="B15">
        <v>50</v>
      </c>
      <c r="C15">
        <f>メイン回路!G28</f>
        <v>31.560042685782829</v>
      </c>
      <c r="D15">
        <f>メイン回路!H28</f>
        <v>-88.903426047725986</v>
      </c>
      <c r="E15">
        <f>amp!K29</f>
        <v>-42.65948509735945</v>
      </c>
      <c r="F15">
        <f>amp!L29</f>
        <v>-50.26745915125592</v>
      </c>
      <c r="G15">
        <f t="shared" si="0"/>
        <v>-11.099442411576621</v>
      </c>
      <c r="H15">
        <f t="shared" si="1"/>
        <v>-139.17088519898192</v>
      </c>
      <c r="I15">
        <f t="shared" si="2"/>
        <v>40.829114801018079</v>
      </c>
      <c r="J15">
        <f t="shared" si="3"/>
        <v>11.099442411576621</v>
      </c>
      <c r="K15">
        <f t="shared" si="4"/>
        <v>50</v>
      </c>
    </row>
    <row r="16" spans="2:11" x14ac:dyDescent="0.15">
      <c r="B16">
        <v>70</v>
      </c>
      <c r="C16">
        <f>メイン回路!G29</f>
        <v>28.638261113092636</v>
      </c>
      <c r="D16">
        <f>メイン回路!H29</f>
        <v>-89.216686047735109</v>
      </c>
      <c r="E16">
        <f>amp!K30</f>
        <v>-44.257910414937641</v>
      </c>
      <c r="F16">
        <f>amp!L30</f>
        <v>-57.509586154073439</v>
      </c>
      <c r="G16">
        <f t="shared" si="0"/>
        <v>-15.619649301845005</v>
      </c>
      <c r="H16">
        <f t="shared" si="1"/>
        <v>-146.72627220180854</v>
      </c>
      <c r="I16">
        <f t="shared" si="2"/>
        <v>33.273727798191459</v>
      </c>
      <c r="J16">
        <f t="shared" si="3"/>
        <v>15.619649301845005</v>
      </c>
      <c r="K16">
        <f t="shared" si="4"/>
        <v>70</v>
      </c>
    </row>
    <row r="17" spans="2:11" x14ac:dyDescent="0.15">
      <c r="B17">
        <v>100</v>
      </c>
      <c r="C17">
        <f>メイン回路!G30</f>
        <v>25.540635888828582</v>
      </c>
      <c r="D17">
        <f>メイン回路!H30</f>
        <v>-89.451662810617151</v>
      </c>
      <c r="E17">
        <f>amp!K31</f>
        <v>-46.428245348586913</v>
      </c>
      <c r="F17">
        <f>amp!L31</f>
        <v>-65.123646502054328</v>
      </c>
      <c r="G17">
        <f t="shared" si="0"/>
        <v>-20.88760945975833</v>
      </c>
      <c r="H17">
        <f t="shared" si="1"/>
        <v>-154.57530931267149</v>
      </c>
      <c r="I17">
        <f t="shared" si="2"/>
        <v>25.424690687328507</v>
      </c>
      <c r="J17">
        <f t="shared" si="3"/>
        <v>20.88760945975833</v>
      </c>
      <c r="K17">
        <f t="shared" si="4"/>
        <v>100</v>
      </c>
    </row>
    <row r="18" spans="2:11" x14ac:dyDescent="0.15">
      <c r="B18">
        <v>150</v>
      </c>
      <c r="C18">
        <f>メイン回路!G31</f>
        <v>22.019031691157519</v>
      </c>
      <c r="D18">
        <f>メイン回路!H31</f>
        <v>-89.634435673367364</v>
      </c>
      <c r="E18">
        <f>amp!K32</f>
        <v>-49.35437712532454</v>
      </c>
      <c r="F18">
        <f>amp!L32</f>
        <v>-72.469094946541773</v>
      </c>
      <c r="G18">
        <f t="shared" si="0"/>
        <v>-27.335345434167021</v>
      </c>
      <c r="H18">
        <f t="shared" si="1"/>
        <v>-162.10353061990912</v>
      </c>
      <c r="I18">
        <f t="shared" si="2"/>
        <v>17.896469380090878</v>
      </c>
      <c r="J18">
        <f t="shared" si="3"/>
        <v>27.335345434167021</v>
      </c>
      <c r="K18">
        <f t="shared" si="4"/>
        <v>150</v>
      </c>
    </row>
    <row r="19" spans="2:11" x14ac:dyDescent="0.15">
      <c r="B19">
        <v>200</v>
      </c>
      <c r="C19">
        <f>メイン回路!G32</f>
        <v>19.520334305852888</v>
      </c>
      <c r="D19">
        <f>メイン回路!H32</f>
        <v>-89.725825127359371</v>
      </c>
      <c r="E19">
        <f>amp!K33</f>
        <v>-51.622805456731328</v>
      </c>
      <c r="F19">
        <f>amp!L33</f>
        <v>-76.572060443827098</v>
      </c>
      <c r="G19">
        <f t="shared" si="0"/>
        <v>-32.102471150878443</v>
      </c>
      <c r="H19">
        <f t="shared" si="1"/>
        <v>-166.29788557118647</v>
      </c>
      <c r="I19">
        <f t="shared" si="2"/>
        <v>13.70211442881353</v>
      </c>
      <c r="J19">
        <f t="shared" si="3"/>
        <v>32.102471150878443</v>
      </c>
      <c r="K19">
        <f t="shared" si="4"/>
        <v>200</v>
      </c>
    </row>
    <row r="20" spans="2:11" x14ac:dyDescent="0.15">
      <c r="B20">
        <v>300</v>
      </c>
      <c r="C20">
        <f>メイン回路!G33</f>
        <v>15.998564373340811</v>
      </c>
      <c r="D20">
        <f>メイン回路!H33</f>
        <v>-89.817215976479588</v>
      </c>
      <c r="E20">
        <f>amp!K34</f>
        <v>-54.971974363503655</v>
      </c>
      <c r="F20">
        <f>amp!L34</f>
        <v>-80.906983500613862</v>
      </c>
      <c r="G20">
        <f t="shared" si="0"/>
        <v>-38.973409990162843</v>
      </c>
      <c r="H20">
        <f t="shared" si="1"/>
        <v>-170.72419947709346</v>
      </c>
      <c r="I20">
        <f t="shared" si="2"/>
        <v>9.2758005229065361</v>
      </c>
      <c r="J20">
        <f t="shared" si="3"/>
        <v>38.973409990162843</v>
      </c>
      <c r="K20">
        <f t="shared" si="4"/>
        <v>300</v>
      </c>
    </row>
    <row r="21" spans="2:11" x14ac:dyDescent="0.15">
      <c r="B21">
        <v>500</v>
      </c>
      <c r="C21">
        <f>メイン回路!G34</f>
        <v>11.561617668569745</v>
      </c>
      <c r="D21">
        <f>メイン回路!H34</f>
        <v>-89.890329347776344</v>
      </c>
      <c r="E21">
        <f>amp!K35</f>
        <v>-59.317717970490179</v>
      </c>
      <c r="F21">
        <f>amp!L35</f>
        <v>-84.499209111137432</v>
      </c>
      <c r="G21">
        <f t="shared" si="0"/>
        <v>-47.756100301920434</v>
      </c>
      <c r="H21">
        <f t="shared" si="1"/>
        <v>-174.38953845891376</v>
      </c>
      <c r="I21">
        <f t="shared" si="2"/>
        <v>5.610461541086238</v>
      </c>
      <c r="J21">
        <f t="shared" si="3"/>
        <v>47.756100301920434</v>
      </c>
      <c r="K21">
        <f t="shared" si="4"/>
        <v>500</v>
      </c>
    </row>
    <row r="22" spans="2:11" x14ac:dyDescent="0.15">
      <c r="B22">
        <v>700</v>
      </c>
      <c r="C22">
        <f>メイン回路!G35</f>
        <v>8.6390647485476837</v>
      </c>
      <c r="D22">
        <f>メイン回路!H35</f>
        <v>-89.921663772981347</v>
      </c>
      <c r="E22">
        <f>amp!K36</f>
        <v>-62.214790941968502</v>
      </c>
      <c r="F22">
        <f>amp!L36</f>
        <v>-86.061864619679938</v>
      </c>
      <c r="G22">
        <f t="shared" si="0"/>
        <v>-53.57572619342082</v>
      </c>
      <c r="H22">
        <f t="shared" si="1"/>
        <v>-175.9835283926613</v>
      </c>
      <c r="I22">
        <f t="shared" si="2"/>
        <v>4.0164716073387012</v>
      </c>
      <c r="J22">
        <f t="shared" si="3"/>
        <v>53.57572619342082</v>
      </c>
      <c r="K22">
        <f t="shared" si="4"/>
        <v>700</v>
      </c>
    </row>
    <row r="23" spans="2:11" x14ac:dyDescent="0.15">
      <c r="B23">
        <v>1000</v>
      </c>
      <c r="C23">
        <f>メイン回路!G36</f>
        <v>5.5410296891580293</v>
      </c>
      <c r="D23">
        <f>メイン回路!H36</f>
        <v>-89.94516462366127</v>
      </c>
      <c r="E23">
        <f>amp!K37</f>
        <v>-65.299226552848367</v>
      </c>
      <c r="F23">
        <f>amp!L37</f>
        <v>-87.23994022803295</v>
      </c>
      <c r="G23">
        <f t="shared" si="0"/>
        <v>-59.758196863690337</v>
      </c>
      <c r="H23">
        <f t="shared" si="1"/>
        <v>-177.18510485169423</v>
      </c>
      <c r="I23">
        <f t="shared" si="2"/>
        <v>2.8148951483057658</v>
      </c>
      <c r="J23">
        <f t="shared" si="3"/>
        <v>59.758196863690337</v>
      </c>
      <c r="K23">
        <f t="shared" si="4"/>
        <v>1000</v>
      </c>
    </row>
    <row r="26" spans="2:11" x14ac:dyDescent="0.15">
      <c r="B26" t="s">
        <v>44</v>
      </c>
    </row>
    <row r="27" spans="2:11" x14ac:dyDescent="0.15">
      <c r="B27" t="s">
        <v>41</v>
      </c>
      <c r="D27">
        <f>VLOOKUP(0,J5:K23,2,TRUE)</f>
        <v>15</v>
      </c>
    </row>
    <row r="28" spans="2:11" x14ac:dyDescent="0.15">
      <c r="B28" t="s">
        <v>42</v>
      </c>
      <c r="D28">
        <f>D27</f>
        <v>15</v>
      </c>
      <c r="E28">
        <f>D28*2</f>
        <v>30</v>
      </c>
    </row>
    <row r="30" spans="2:11" x14ac:dyDescent="0.15">
      <c r="C30" t="s">
        <v>27</v>
      </c>
      <c r="E30" t="s">
        <v>29</v>
      </c>
      <c r="G30" t="s">
        <v>30</v>
      </c>
    </row>
    <row r="31" spans="2:11" x14ac:dyDescent="0.15">
      <c r="B31" t="s">
        <v>16</v>
      </c>
      <c r="C31" t="s">
        <v>20</v>
      </c>
      <c r="D31" t="s">
        <v>28</v>
      </c>
      <c r="E31" t="s">
        <v>20</v>
      </c>
      <c r="F31" t="s">
        <v>28</v>
      </c>
      <c r="G31" t="s">
        <v>20</v>
      </c>
      <c r="H31" t="s">
        <v>28</v>
      </c>
      <c r="I31" t="s">
        <v>28</v>
      </c>
    </row>
    <row r="32" spans="2:11" x14ac:dyDescent="0.15">
      <c r="B32">
        <f>D28</f>
        <v>15</v>
      </c>
      <c r="C32">
        <f>メイン回路!G14</f>
        <v>42.001564530501014</v>
      </c>
      <c r="D32">
        <f>メイン回路!H14</f>
        <v>-86.349255741938535</v>
      </c>
      <c r="E32">
        <f>amp!K15</f>
        <v>-39.564545858347579</v>
      </c>
      <c r="F32">
        <f>amp!L15</f>
        <v>-40.881053495649475</v>
      </c>
      <c r="G32">
        <f>C32+E32</f>
        <v>2.4370186721534353</v>
      </c>
      <c r="H32">
        <f>D32+F32</f>
        <v>-127.23030923758802</v>
      </c>
      <c r="I32">
        <f>H32+180</f>
        <v>52.769690762411983</v>
      </c>
    </row>
    <row r="33" spans="2:17" x14ac:dyDescent="0.15">
      <c r="B33">
        <f>E28</f>
        <v>30</v>
      </c>
      <c r="C33">
        <f>メイン回路!G15</f>
        <v>35.994190859153754</v>
      </c>
      <c r="D33">
        <f>メイン回路!H15</f>
        <v>-88.172773272550316</v>
      </c>
      <c r="E33">
        <f>amp!K16</f>
        <v>-41.035272838359262</v>
      </c>
      <c r="F33">
        <f>amp!L16</f>
        <v>-41.966654609785877</v>
      </c>
      <c r="G33">
        <f t="shared" ref="G33" si="5">C33+E33</f>
        <v>-5.0410819792055079</v>
      </c>
      <c r="H33">
        <f t="shared" ref="H33" si="6">D33+F33</f>
        <v>-130.13942788233618</v>
      </c>
      <c r="I33">
        <f t="shared" ref="I33" si="7">H33+180</f>
        <v>49.860572117663821</v>
      </c>
    </row>
    <row r="35" spans="2:17" x14ac:dyDescent="0.15">
      <c r="B35" t="s">
        <v>45</v>
      </c>
      <c r="D35" t="s">
        <v>46</v>
      </c>
      <c r="E35">
        <f>(G32-G33)/(B32-B33)</f>
        <v>-0.49854004342392955</v>
      </c>
      <c r="F35" s="1" t="s">
        <v>47</v>
      </c>
      <c r="G35">
        <f>G32-E35*B32</f>
        <v>9.9151193235123785</v>
      </c>
    </row>
    <row r="37" spans="2:17" x14ac:dyDescent="0.15">
      <c r="B37" t="s">
        <v>48</v>
      </c>
      <c r="D37" t="s">
        <v>49</v>
      </c>
      <c r="E37">
        <f>-G35/E35</f>
        <v>19.888310787266363</v>
      </c>
    </row>
    <row r="38" spans="2:17" x14ac:dyDescent="0.15">
      <c r="M38" t="s">
        <v>57</v>
      </c>
    </row>
    <row r="39" spans="2:17" x14ac:dyDescent="0.15">
      <c r="B39" t="s">
        <v>50</v>
      </c>
      <c r="D39" t="s">
        <v>51</v>
      </c>
      <c r="E39">
        <f>(I32-I33)/(B32-B33)</f>
        <v>-0.19394124298321078</v>
      </c>
      <c r="F39" s="1" t="s">
        <v>47</v>
      </c>
      <c r="G39">
        <f>I32-E39*B32</f>
        <v>55.678809407160145</v>
      </c>
      <c r="M39" t="s">
        <v>39</v>
      </c>
      <c r="N39" t="s">
        <v>54</v>
      </c>
      <c r="O39" t="s">
        <v>55</v>
      </c>
      <c r="P39" t="s">
        <v>53</v>
      </c>
    </row>
    <row r="40" spans="2:17" x14ac:dyDescent="0.15">
      <c r="M40">
        <f>E37</f>
        <v>19.888310787266363</v>
      </c>
      <c r="N40">
        <f>E41</f>
        <v>51.821645692241304</v>
      </c>
      <c r="O40">
        <f>E41</f>
        <v>51.821645692241304</v>
      </c>
    </row>
    <row r="41" spans="2:17" x14ac:dyDescent="0.15">
      <c r="B41" t="s">
        <v>52</v>
      </c>
      <c r="D41" t="s">
        <v>51</v>
      </c>
      <c r="E41">
        <f>E39*E37+G39</f>
        <v>51.821645692241304</v>
      </c>
      <c r="M41">
        <v>1000</v>
      </c>
      <c r="N41">
        <f>E41</f>
        <v>51.821645692241304</v>
      </c>
      <c r="O41">
        <v>0</v>
      </c>
    </row>
    <row r="44" spans="2:17" x14ac:dyDescent="0.15">
      <c r="M44" t="s">
        <v>58</v>
      </c>
      <c r="P44" t="s">
        <v>61</v>
      </c>
    </row>
    <row r="45" spans="2:17" x14ac:dyDescent="0.15">
      <c r="M45" t="s">
        <v>59</v>
      </c>
      <c r="N45" t="s">
        <v>60</v>
      </c>
      <c r="P45" t="s">
        <v>62</v>
      </c>
      <c r="Q45" t="s">
        <v>63</v>
      </c>
    </row>
    <row r="46" spans="2:17" x14ac:dyDescent="0.15">
      <c r="M46">
        <f>'COMP design'!F11</f>
        <v>100</v>
      </c>
      <c r="N46">
        <f>メイン回路!G11+amp!K11</f>
        <v>-20.88760945975833</v>
      </c>
      <c r="P46">
        <v>1</v>
      </c>
      <c r="Q46">
        <f>N46</f>
        <v>-20.88760945975833</v>
      </c>
    </row>
    <row r="47" spans="2:17" x14ac:dyDescent="0.15">
      <c r="P47">
        <f>M46</f>
        <v>100</v>
      </c>
      <c r="Q47">
        <f>N46</f>
        <v>-20.88760945975833</v>
      </c>
    </row>
  </sheetData>
  <mergeCells count="1">
    <mergeCell ref="J3:K3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COMP design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*</cp:lastModifiedBy>
  <dcterms:created xsi:type="dcterms:W3CDTF">2018-05-29T04:22:04Z</dcterms:created>
  <dcterms:modified xsi:type="dcterms:W3CDTF">2019-09-30T06:38:56Z</dcterms:modified>
</cp:coreProperties>
</file>